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75" windowHeight="1164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80" i="2" l="1"/>
  <c r="B80" i="2"/>
  <c r="G80" i="2" s="1"/>
  <c r="N79" i="2"/>
  <c r="M79" i="2" s="1"/>
  <c r="M90" i="2" s="1"/>
  <c r="B79" i="2"/>
  <c r="B78" i="2"/>
  <c r="G78" i="2" s="1"/>
  <c r="Q90" i="2"/>
  <c r="P90" i="2"/>
  <c r="J90" i="2"/>
  <c r="I90" i="2"/>
  <c r="F90" i="2"/>
  <c r="E90" i="2"/>
  <c r="D90" i="2"/>
  <c r="K89" i="2"/>
  <c r="G89" i="2"/>
  <c r="K88" i="2"/>
  <c r="G88" i="2"/>
  <c r="K87" i="2"/>
  <c r="G87" i="2"/>
  <c r="K86" i="2"/>
  <c r="G86" i="2"/>
  <c r="R85" i="2"/>
  <c r="K85" i="2"/>
  <c r="G85" i="2"/>
  <c r="R84" i="2"/>
  <c r="K84" i="2"/>
  <c r="G84" i="2"/>
  <c r="R83" i="2"/>
  <c r="K83" i="2"/>
  <c r="G83" i="2"/>
  <c r="R82" i="2"/>
  <c r="N82" i="2"/>
  <c r="K82" i="2"/>
  <c r="G82" i="2"/>
  <c r="R81" i="2"/>
  <c r="K81" i="2"/>
  <c r="G81" i="2"/>
  <c r="R80" i="2"/>
  <c r="K80" i="2"/>
  <c r="R79" i="2"/>
  <c r="K79" i="2"/>
  <c r="G79" i="2"/>
  <c r="R78" i="2"/>
  <c r="N78" i="2"/>
  <c r="K78" i="2"/>
  <c r="B90" i="2"/>
  <c r="Q71" i="2"/>
  <c r="P71" i="2"/>
  <c r="K70" i="2"/>
  <c r="G70" i="2"/>
  <c r="B70" i="2"/>
  <c r="U14" i="1"/>
  <c r="D71" i="2"/>
  <c r="E71" i="2"/>
  <c r="I71" i="2"/>
  <c r="J71" i="2"/>
  <c r="F71" i="2"/>
  <c r="B69" i="2"/>
  <c r="G69" i="2" s="1"/>
  <c r="K69" i="2"/>
  <c r="J16" i="1"/>
  <c r="K68" i="2"/>
  <c r="G68" i="2"/>
  <c r="B68" i="2"/>
  <c r="V68" i="2"/>
  <c r="V67" i="2"/>
  <c r="K67" i="2"/>
  <c r="B67" i="2"/>
  <c r="G67" i="2" s="1"/>
  <c r="R66" i="2"/>
  <c r="V66" i="2"/>
  <c r="B66" i="2"/>
  <c r="G66" i="2" s="1"/>
  <c r="K66" i="2"/>
  <c r="V65" i="2"/>
  <c r="R65" i="2"/>
  <c r="K65" i="2"/>
  <c r="B65" i="2"/>
  <c r="G65" i="2" s="1"/>
  <c r="K64" i="2"/>
  <c r="N90" i="2" l="1"/>
  <c r="R64" i="2"/>
  <c r="G64" i="2"/>
  <c r="B64" i="2"/>
  <c r="G63" i="2"/>
  <c r="R63" i="2"/>
  <c r="N63" i="2"/>
  <c r="K63" i="2"/>
  <c r="R62" i="2"/>
  <c r="N62" i="2"/>
  <c r="M62" i="2" s="1"/>
  <c r="B62" i="2"/>
  <c r="G62" i="2" s="1"/>
  <c r="K62" i="2"/>
  <c r="G61" i="2"/>
  <c r="B61" i="2"/>
  <c r="N61" i="2"/>
  <c r="M61" i="2"/>
  <c r="M71" i="2" l="1"/>
  <c r="K61" i="2"/>
  <c r="R61" i="2"/>
  <c r="N59" i="2"/>
  <c r="N71" i="2" s="1"/>
  <c r="N60" i="2"/>
  <c r="K60" i="2"/>
  <c r="R60" i="2"/>
  <c r="G51" i="2"/>
  <c r="R59" i="2"/>
  <c r="B60" i="2"/>
  <c r="G60" i="2" s="1"/>
  <c r="G59" i="2"/>
  <c r="B59" i="2"/>
  <c r="B71" i="2" s="1"/>
  <c r="K59" i="2"/>
  <c r="M53" i="2"/>
  <c r="H13" i="1" l="1"/>
  <c r="K16" i="1" s="1"/>
  <c r="H16" i="1"/>
  <c r="I16" i="1" s="1"/>
  <c r="J53" i="2"/>
  <c r="I53" i="2"/>
  <c r="I55" i="2" s="1"/>
  <c r="B53" i="2"/>
  <c r="G53" i="2" s="1"/>
  <c r="M50" i="2"/>
  <c r="N49" i="2"/>
  <c r="N48" i="2"/>
  <c r="N47" i="2"/>
  <c r="N55" i="2" s="1"/>
  <c r="B52" i="2"/>
  <c r="G52" i="2" s="1"/>
  <c r="B49" i="2"/>
  <c r="G49" i="2" s="1"/>
  <c r="K49" i="2"/>
  <c r="B48" i="2"/>
  <c r="J55" i="2"/>
  <c r="B47" i="2"/>
  <c r="G47" i="2" s="1"/>
  <c r="B46" i="2"/>
  <c r="F54" i="2"/>
  <c r="B45" i="2"/>
  <c r="K45" i="2"/>
  <c r="B44" i="2"/>
  <c r="G44" i="2" s="1"/>
  <c r="B43" i="2"/>
  <c r="O42" i="2"/>
  <c r="O41" i="2"/>
  <c r="M42" i="2"/>
  <c r="M41" i="2"/>
  <c r="M55" i="2" s="1"/>
  <c r="B42" i="2"/>
  <c r="G42" i="2" s="1"/>
  <c r="B41" i="2"/>
  <c r="B40" i="2"/>
  <c r="T14" i="1"/>
  <c r="K54" i="2"/>
  <c r="K53" i="2"/>
  <c r="K50" i="2"/>
  <c r="G50" i="2"/>
  <c r="K48" i="2"/>
  <c r="G48" i="2"/>
  <c r="K47" i="2"/>
  <c r="K46" i="2"/>
  <c r="G46" i="2"/>
  <c r="G45" i="2"/>
  <c r="K44" i="2"/>
  <c r="K43" i="2"/>
  <c r="G43" i="2"/>
  <c r="K42" i="2"/>
  <c r="K41" i="2"/>
  <c r="G41" i="2"/>
  <c r="K40" i="2"/>
  <c r="G40" i="2" l="1"/>
  <c r="B54" i="2"/>
  <c r="B34" i="2"/>
  <c r="G34" i="2" s="1"/>
  <c r="N35" i="2"/>
  <c r="J35" i="2"/>
  <c r="K35" i="2" s="1"/>
  <c r="K34" i="2"/>
  <c r="E13" i="1"/>
  <c r="B33" i="2"/>
  <c r="G33" i="2" s="1"/>
  <c r="B32" i="2"/>
  <c r="G32" i="2" s="1"/>
  <c r="K33" i="2"/>
  <c r="K32" i="2"/>
  <c r="I35" i="2"/>
  <c r="G31" i="2"/>
  <c r="B31" i="2"/>
  <c r="K31" i="2"/>
  <c r="E35" i="2"/>
  <c r="D35" i="2"/>
  <c r="C35" i="2"/>
  <c r="F35" i="2"/>
  <c r="B30" i="2"/>
  <c r="G30" i="2" s="1"/>
  <c r="K30" i="2"/>
  <c r="B29" i="2"/>
  <c r="G29" i="2" s="1"/>
  <c r="F16" i="1"/>
  <c r="B28" i="2"/>
  <c r="G28" i="2" s="1"/>
  <c r="K29" i="2"/>
  <c r="K28" i="2"/>
  <c r="B27" i="2"/>
  <c r="G27" i="2" s="1"/>
  <c r="K27" i="2"/>
  <c r="B26" i="2"/>
  <c r="G26" i="2" s="1"/>
  <c r="M26" i="2"/>
  <c r="K26" i="2"/>
  <c r="B25" i="2"/>
  <c r="G25" i="2" s="1"/>
  <c r="B24" i="2"/>
  <c r="G24" i="2" s="1"/>
  <c r="M25" i="2"/>
  <c r="M35" i="2" s="1"/>
  <c r="K25" i="2"/>
  <c r="K24" i="2"/>
  <c r="B23" i="2"/>
  <c r="K23" i="2"/>
  <c r="S14" i="1"/>
  <c r="F32" i="1"/>
  <c r="K15" i="2"/>
  <c r="B15" i="2"/>
  <c r="G15" i="2" s="1"/>
  <c r="K14" i="2"/>
  <c r="C13" i="2"/>
  <c r="C12" i="2"/>
  <c r="B13" i="2"/>
  <c r="B14" i="2"/>
  <c r="G14" i="2" s="1"/>
  <c r="D11" i="1"/>
  <c r="E11" i="1" s="1"/>
  <c r="D12" i="1"/>
  <c r="E12" i="1" s="1"/>
  <c r="D28" i="1"/>
  <c r="D29" i="1"/>
  <c r="P34" i="1"/>
  <c r="Q34" i="1" s="1"/>
  <c r="P29" i="1"/>
  <c r="Q29" i="1" s="1"/>
  <c r="T25" i="1"/>
  <c r="U25" i="1" s="1"/>
  <c r="P25" i="1"/>
  <c r="Q25" i="1" s="1"/>
  <c r="E10" i="1"/>
  <c r="E3" i="1"/>
  <c r="R14" i="1"/>
  <c r="D32" i="1" l="1"/>
  <c r="G16" i="1"/>
  <c r="B35" i="2"/>
  <c r="G23" i="2"/>
  <c r="G13" i="2"/>
  <c r="K13" i="2"/>
  <c r="B12" i="2"/>
  <c r="G12" i="2" s="1"/>
  <c r="G11" i="2"/>
  <c r="K12" i="2"/>
  <c r="B10" i="2"/>
  <c r="G10" i="2" s="1"/>
  <c r="D9" i="1"/>
  <c r="K10" i="2"/>
  <c r="B9" i="2"/>
  <c r="G9" i="2" s="1"/>
  <c r="D8" i="1"/>
  <c r="E8" i="1" s="1"/>
  <c r="K9" i="2"/>
  <c r="D7" i="1"/>
  <c r="E7" i="1" s="1"/>
  <c r="B8" i="2"/>
  <c r="G8" i="2" s="1"/>
  <c r="K8" i="2"/>
  <c r="K7" i="2"/>
  <c r="B7" i="2"/>
  <c r="G7" i="2" s="1"/>
  <c r="D6" i="1"/>
  <c r="E6" i="1" s="1"/>
  <c r="K6" i="2"/>
  <c r="E9" i="1" l="1"/>
  <c r="J16" i="2"/>
  <c r="I16" i="2"/>
  <c r="F16" i="2"/>
  <c r="D16" i="2"/>
  <c r="C16" i="2"/>
  <c r="K5" i="2"/>
  <c r="K4" i="2"/>
  <c r="K3" i="2"/>
  <c r="M6" i="2"/>
  <c r="M4" i="2"/>
  <c r="B4" i="2"/>
  <c r="G4" i="2" s="1"/>
  <c r="B3" i="2"/>
  <c r="B5" i="2"/>
  <c r="G5" i="2" s="1"/>
  <c r="B6" i="2"/>
  <c r="G6" i="2" s="1"/>
  <c r="E5" i="2"/>
  <c r="E16" i="2" s="1"/>
  <c r="M16" i="2" s="1"/>
  <c r="D5" i="1"/>
  <c r="E5" i="1" s="1"/>
  <c r="D4" i="1"/>
  <c r="E4" i="1" s="1"/>
  <c r="P13" i="1"/>
  <c r="P10" i="1"/>
  <c r="P14" i="1" s="1"/>
  <c r="B31" i="1"/>
  <c r="B28" i="1"/>
  <c r="D2" i="1"/>
  <c r="E2" i="1" s="1"/>
  <c r="B13" i="1"/>
  <c r="C13" i="1" s="1"/>
  <c r="B12" i="1"/>
  <c r="C12" i="1" s="1"/>
  <c r="B11" i="1"/>
  <c r="C11" i="1" s="1"/>
  <c r="B10" i="1"/>
  <c r="C10" i="1" s="1"/>
  <c r="B9" i="1"/>
  <c r="C9" i="1" s="1"/>
  <c r="B8" i="1"/>
  <c r="C8" i="1" s="1"/>
  <c r="B7" i="1"/>
  <c r="C7" i="1" s="1"/>
  <c r="B6" i="1"/>
  <c r="C6" i="1" s="1"/>
  <c r="B5" i="1"/>
  <c r="C5" i="1" s="1"/>
  <c r="B4" i="1"/>
  <c r="C4" i="1" s="1"/>
  <c r="B3" i="1"/>
  <c r="C3" i="1" s="1"/>
  <c r="B2" i="1"/>
  <c r="C2" i="1" s="1"/>
  <c r="B32" i="1" l="1"/>
  <c r="B16" i="1"/>
  <c r="D16" i="1"/>
  <c r="B16" i="2"/>
  <c r="G16" i="2" s="1"/>
  <c r="M5" i="2"/>
  <c r="G3" i="2"/>
  <c r="G19" i="2"/>
  <c r="K16" i="2"/>
  <c r="E16" i="1" l="1"/>
</calcChain>
</file>

<file path=xl/comments1.xml><?xml version="1.0" encoding="utf-8"?>
<comments xmlns="http://schemas.openxmlformats.org/spreadsheetml/2006/main">
  <authors>
    <author>Hallie.Clemm</author>
  </authors>
  <commentList>
    <comment ref="A12" authorId="0">
      <text>
        <r>
          <rPr>
            <b/>
            <sz val="8"/>
            <color indexed="81"/>
            <rFont val="Tahoma"/>
            <family val="2"/>
          </rPr>
          <t>Hallie.Clemm:</t>
        </r>
        <r>
          <rPr>
            <sz val="8"/>
            <color indexed="81"/>
            <rFont val="Tahoma"/>
            <family val="2"/>
          </rPr>
          <t xml:space="preserve">
New hauling and disposal contract began 6/7/10
</t>
        </r>
      </text>
    </comment>
    <comment ref="A3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A48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<sst xmlns="http://schemas.openxmlformats.org/spreadsheetml/2006/main" count="222" uniqueCount="63">
  <si>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</si>
  <si>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</si>
  <si>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</si>
  <si>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</si>
  <si>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</si>
  <si>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</si>
  <si>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</si>
  <si>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</si>
  <si>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</si>
  <si>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</si>
  <si>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</si>
  <si>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</si>
  <si>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Combustible</t>
  </si>
  <si>
    <t>Non Combustible</t>
  </si>
  <si>
    <t>White Goods</t>
  </si>
  <si>
    <t>FY10</t>
  </si>
  <si>
    <t>Month</t>
  </si>
  <si>
    <t>Non-Combustible</t>
  </si>
  <si>
    <t>Yard Waste Haul</t>
  </si>
  <si>
    <t>Fairfax tons</t>
  </si>
  <si>
    <t>Fairfax Cost</t>
  </si>
  <si>
    <t>TAC</t>
  </si>
  <si>
    <t xml:space="preserve">Fairfax </t>
  </si>
  <si>
    <t>Cost</t>
  </si>
  <si>
    <t>Cost/ton</t>
  </si>
  <si>
    <t>Oct</t>
  </si>
  <si>
    <t>Nov</t>
  </si>
  <si>
    <t>Dec</t>
  </si>
  <si>
    <t>Jan</t>
  </si>
  <si>
    <t>POGO</t>
  </si>
  <si>
    <t>Feb</t>
  </si>
  <si>
    <t>Mar</t>
  </si>
  <si>
    <t>Apr</t>
  </si>
  <si>
    <t>May</t>
  </si>
  <si>
    <t>Jul</t>
  </si>
  <si>
    <t>Aug</t>
  </si>
  <si>
    <t>Sep</t>
  </si>
  <si>
    <t>TOTAL</t>
  </si>
  <si>
    <t>June 1-6</t>
  </si>
  <si>
    <t>June 7-30</t>
  </si>
  <si>
    <t>Tons in August</t>
  </si>
  <si>
    <t>Loads</t>
  </si>
  <si>
    <t>loads/day</t>
  </si>
  <si>
    <t>non-combustible</t>
  </si>
  <si>
    <t>Tons in July</t>
  </si>
  <si>
    <t>I-95 limit</t>
  </si>
  <si>
    <t>FY11</t>
  </si>
  <si>
    <t>Tons</t>
  </si>
  <si>
    <t xml:space="preserve">June </t>
  </si>
  <si>
    <t>FY12</t>
  </si>
  <si>
    <t>40 loads</t>
  </si>
  <si>
    <t>Aug-TAC</t>
  </si>
  <si>
    <t>Aug- Owens</t>
  </si>
  <si>
    <t>Aug lucky dog</t>
  </si>
  <si>
    <t xml:space="preserve"> </t>
  </si>
  <si>
    <t>FY13</t>
  </si>
  <si>
    <t>FY 13</t>
  </si>
  <si>
    <t>Lucky Dog</t>
  </si>
  <si>
    <t>Urban - non-combustible</t>
  </si>
  <si>
    <t>FOOD WASTE</t>
  </si>
  <si>
    <t>`</t>
  </si>
  <si>
    <t>FY14</t>
  </si>
  <si>
    <t>FY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</si>
</sst>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0" fontId="0" fillId="0" borderId="0" xfId="0" applyNumberFormat="1"/>
    <xf numFmtId="10" fontId="4" fillId="0" borderId="0" xfId="0" applyNumberFormat="1" applyFont="1"/>
    <xf numFmtId="0" fontId="0" fillId="0" borderId="0" xfId="0" applyNumberFormat="1"/>
    <xf numFmtId="44" fontId="0" fillId="0" borderId="0" xfId="0" applyNumberFormat="1"/>
    <xf numFmtId="0" fontId="0" fillId="2" borderId="0" xfId="0" applyFill="1"/>
    <xf numFmtId="165" fontId="1" fillId="0" borderId="0" xfId="0" applyNumberFormat="1" applyFont="1"/>
    <xf numFmtId="10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opLeftCell="M1" workbookViewId="0">
      <selection activeCell="V6" sqref="V6"/>
    </sheetView>
  </sheetViews>
  <sheetFormatPr defaultRowHeight="15" x14ac:dyDescent="0.25"/>
  <cols>
    <col min="5" max="5" width="11.140625" customWidth="1"/>
  </cols>
  <sheetData>
    <row r="1" spans="1:22" x14ac:dyDescent="0.25">
      <c r="A1" s="1" t="s">
        <v>12</v>
      </c>
      <c r="D1" s="4" t="s">
        <v>15</v>
      </c>
      <c r="E1" s="12"/>
      <c r="F1" s="4" t="s">
        <v>46</v>
      </c>
      <c r="G1" s="5"/>
      <c r="H1" s="4" t="s">
        <v>49</v>
      </c>
      <c r="I1" s="5"/>
      <c r="J1" s="4" t="s">
        <v>55</v>
      </c>
      <c r="K1" s="5"/>
      <c r="L1" s="4" t="s">
        <v>61</v>
      </c>
      <c r="O1" s="1" t="s">
        <v>14</v>
      </c>
      <c r="P1" s="1"/>
      <c r="Q1" s="1"/>
      <c r="R1" s="4" t="s">
        <v>15</v>
      </c>
      <c r="S1" s="4" t="s">
        <v>46</v>
      </c>
      <c r="T1" s="4" t="s">
        <v>49</v>
      </c>
      <c r="U1" s="4" t="s">
        <v>56</v>
      </c>
      <c r="V1" s="4" t="s">
        <v>62</v>
      </c>
    </row>
    <row r="2" spans="1:22" x14ac:dyDescent="0.25">
      <c r="A2" t="s">
        <v>0</v>
      </c>
      <c r="B2">
        <f>7843.44+4749.23</f>
        <v>12592.669999999998</v>
      </c>
      <c r="C2" s="7">
        <f>+B2/13804</f>
        <v>0.91224789915966376</v>
      </c>
      <c r="D2">
        <f>7911.72+885.29+1356.41+3668.14</f>
        <v>13821.56</v>
      </c>
      <c r="E2" s="7">
        <f>+D2/16666</f>
        <v>0.82932677307092284</v>
      </c>
      <c r="F2">
        <v>17137.8</v>
      </c>
      <c r="H2">
        <v>17543.349999999999</v>
      </c>
      <c r="J2">
        <v>17119.099999999999</v>
      </c>
      <c r="L2">
        <v>17551.580000000002</v>
      </c>
      <c r="O2" t="s">
        <v>0</v>
      </c>
      <c r="P2">
        <v>118</v>
      </c>
      <c r="R2">
        <v>39.81</v>
      </c>
      <c r="S2">
        <v>0</v>
      </c>
      <c r="T2">
        <v>13.94</v>
      </c>
      <c r="U2">
        <v>16.66</v>
      </c>
      <c r="V2">
        <v>25.27</v>
      </c>
    </row>
    <row r="3" spans="1:22" x14ac:dyDescent="0.25">
      <c r="A3" t="s">
        <v>1</v>
      </c>
      <c r="B3">
        <f>8607.3+4439.26</f>
        <v>13046.56</v>
      </c>
      <c r="C3" s="7">
        <f t="shared" ref="C3:C13" si="0">+B3/13804</f>
        <v>0.94512894813097648</v>
      </c>
      <c r="D3">
        <v>15986.25</v>
      </c>
      <c r="E3" s="7">
        <f t="shared" ref="E3:E13" si="1">+D3/16666</f>
        <v>0.95921336853474137</v>
      </c>
      <c r="F3">
        <v>18971.330000000002</v>
      </c>
      <c r="G3">
        <v>0</v>
      </c>
      <c r="H3">
        <v>17489.05</v>
      </c>
      <c r="J3">
        <v>18592.169999999998</v>
      </c>
      <c r="L3">
        <v>15552.83</v>
      </c>
      <c r="O3" t="s">
        <v>1</v>
      </c>
      <c r="P3">
        <v>48.37</v>
      </c>
      <c r="R3">
        <v>26.78</v>
      </c>
      <c r="S3">
        <v>0</v>
      </c>
      <c r="T3">
        <v>0</v>
      </c>
      <c r="U3">
        <v>0</v>
      </c>
      <c r="V3">
        <v>9.61</v>
      </c>
    </row>
    <row r="4" spans="1:22" x14ac:dyDescent="0.25">
      <c r="A4" t="s">
        <v>2</v>
      </c>
      <c r="B4">
        <f>2991.04+2236.86+5080.28+3955.59</f>
        <v>14263.77</v>
      </c>
      <c r="C4" s="7">
        <f t="shared" si="0"/>
        <v>1.0333070124601564</v>
      </c>
      <c r="D4">
        <f>3972.91+565.8+2984.21+9010.53</f>
        <v>16533.45</v>
      </c>
      <c r="E4" s="7">
        <f t="shared" si="1"/>
        <v>0.99204668186727474</v>
      </c>
      <c r="F4">
        <v>15975.9</v>
      </c>
      <c r="H4">
        <v>20474</v>
      </c>
      <c r="J4">
        <v>16087.98</v>
      </c>
      <c r="L4">
        <v>16055.35</v>
      </c>
      <c r="O4" t="s">
        <v>2</v>
      </c>
      <c r="P4">
        <v>130.63999999999999</v>
      </c>
      <c r="R4">
        <v>129.07</v>
      </c>
      <c r="S4">
        <v>12.85</v>
      </c>
      <c r="T4">
        <v>16.27</v>
      </c>
      <c r="U4">
        <v>19.73</v>
      </c>
      <c r="V4">
        <v>10</v>
      </c>
    </row>
    <row r="5" spans="1:22" x14ac:dyDescent="0.25">
      <c r="A5" t="s">
        <v>3</v>
      </c>
      <c r="B5">
        <f>1787.03+1149.97+6445.9+3953.82</f>
        <v>13336.72</v>
      </c>
      <c r="C5" s="7">
        <f t="shared" si="0"/>
        <v>0.96614894233555482</v>
      </c>
      <c r="D5">
        <f>2953.67+65.48+2750.52+7738.95</f>
        <v>13508.619999999999</v>
      </c>
      <c r="E5" s="7">
        <f t="shared" si="1"/>
        <v>0.81054962198487934</v>
      </c>
      <c r="F5">
        <v>17437.12</v>
      </c>
      <c r="H5">
        <v>15100.2</v>
      </c>
      <c r="J5">
        <v>15613.5</v>
      </c>
      <c r="O5" t="s">
        <v>3</v>
      </c>
      <c r="P5">
        <v>76</v>
      </c>
      <c r="R5">
        <v>54.45</v>
      </c>
      <c r="S5">
        <v>0</v>
      </c>
      <c r="T5">
        <v>13.24</v>
      </c>
      <c r="U5">
        <v>13.95</v>
      </c>
      <c r="V5">
        <v>10.23</v>
      </c>
    </row>
    <row r="6" spans="1:22" x14ac:dyDescent="0.25">
      <c r="A6" t="s">
        <v>4</v>
      </c>
      <c r="B6">
        <f>854.09+85.16+4404.9+3056.87</f>
        <v>8401.02</v>
      </c>
      <c r="C6" s="7">
        <f t="shared" si="0"/>
        <v>0.60859316140249209</v>
      </c>
      <c r="D6">
        <f>7543.16+2039.75+196.06</f>
        <v>9778.9699999999993</v>
      </c>
      <c r="E6" s="7">
        <f t="shared" si="1"/>
        <v>0.5867616704668186</v>
      </c>
      <c r="F6">
        <v>13009.23</v>
      </c>
      <c r="H6">
        <v>15320.15</v>
      </c>
      <c r="J6">
        <v>13328.93</v>
      </c>
      <c r="O6" t="s">
        <v>4</v>
      </c>
      <c r="P6">
        <v>80</v>
      </c>
      <c r="R6">
        <v>37.83</v>
      </c>
      <c r="S6">
        <v>0</v>
      </c>
      <c r="T6">
        <v>5.29</v>
      </c>
      <c r="U6">
        <v>3.94</v>
      </c>
    </row>
    <row r="7" spans="1:22" x14ac:dyDescent="0.25">
      <c r="A7" t="s">
        <v>5</v>
      </c>
      <c r="B7">
        <f>1466.45+1955.53+5043.76+3758.18</f>
        <v>12223.92</v>
      </c>
      <c r="C7" s="7">
        <f t="shared" si="0"/>
        <v>0.88553462764416113</v>
      </c>
      <c r="D7">
        <f>5772.68+9055.84+492.46+180.37</f>
        <v>15501.35</v>
      </c>
      <c r="E7" s="7">
        <f t="shared" si="1"/>
        <v>0.93011820472818918</v>
      </c>
      <c r="F7">
        <v>17949.349999999999</v>
      </c>
      <c r="H7">
        <v>19361.23</v>
      </c>
      <c r="J7">
        <v>14915.79</v>
      </c>
      <c r="O7" t="s">
        <v>5</v>
      </c>
      <c r="P7">
        <v>130</v>
      </c>
      <c r="R7">
        <v>69.98</v>
      </c>
      <c r="S7">
        <v>9.7200000000000006</v>
      </c>
      <c r="T7">
        <v>8.2100000000000009</v>
      </c>
      <c r="U7">
        <v>8.6</v>
      </c>
    </row>
    <row r="8" spans="1:22" x14ac:dyDescent="0.25">
      <c r="A8" t="s">
        <v>6</v>
      </c>
      <c r="B8">
        <f>2922.89+1441.78+4503.78+4616.42</f>
        <v>13484.87</v>
      </c>
      <c r="C8" s="7">
        <f t="shared" si="0"/>
        <v>0.97688133874239358</v>
      </c>
      <c r="D8">
        <f>3718.9+498.43+3751.81+9150.23</f>
        <v>17119.37</v>
      </c>
      <c r="E8" s="7">
        <f t="shared" si="1"/>
        <v>1.0272032881315252</v>
      </c>
      <c r="F8">
        <v>17432.919999999998</v>
      </c>
      <c r="H8">
        <v>17760.61</v>
      </c>
      <c r="J8">
        <v>16172.89</v>
      </c>
      <c r="O8" t="s">
        <v>6</v>
      </c>
      <c r="P8">
        <v>97</v>
      </c>
      <c r="R8">
        <v>68.34</v>
      </c>
      <c r="S8">
        <v>0</v>
      </c>
      <c r="T8">
        <v>27.45</v>
      </c>
      <c r="U8">
        <v>11.92</v>
      </c>
    </row>
    <row r="9" spans="1:22" x14ac:dyDescent="0.25">
      <c r="A9" t="s">
        <v>7</v>
      </c>
      <c r="B9">
        <f>1387.56+1803.12+6813.7+6127.8</f>
        <v>16132.18</v>
      </c>
      <c r="C9" s="7">
        <f t="shared" si="0"/>
        <v>1.1686598087510867</v>
      </c>
      <c r="D9">
        <f>3552.97+244.09+3652.4+8903.72</f>
        <v>16353.18</v>
      </c>
      <c r="E9" s="7">
        <f t="shared" si="1"/>
        <v>0.9812300492019681</v>
      </c>
      <c r="F9">
        <v>17920.810000000001</v>
      </c>
      <c r="H9">
        <v>18726.12</v>
      </c>
      <c r="J9">
        <v>19521.52</v>
      </c>
      <c r="O9" t="s">
        <v>7</v>
      </c>
      <c r="P9">
        <v>58</v>
      </c>
      <c r="R9">
        <v>50.12</v>
      </c>
      <c r="S9">
        <v>10.85</v>
      </c>
      <c r="T9">
        <v>23.96</v>
      </c>
      <c r="U9">
        <v>10.52</v>
      </c>
    </row>
    <row r="10" spans="1:22" x14ac:dyDescent="0.25">
      <c r="A10" t="s">
        <v>8</v>
      </c>
      <c r="B10">
        <f>46.25+1686.6+1195.99+2657.1+4900.81+3775.73+2967.12</f>
        <v>17229.599999999999</v>
      </c>
      <c r="C10" s="7">
        <f t="shared" si="0"/>
        <v>1.248159953636627</v>
      </c>
      <c r="D10">
        <v>13797.35</v>
      </c>
      <c r="E10" s="7">
        <f t="shared" si="1"/>
        <v>0.82787411496459862</v>
      </c>
      <c r="F10">
        <v>20920.8</v>
      </c>
      <c r="H10">
        <v>19395.05</v>
      </c>
      <c r="J10">
        <v>17477.11</v>
      </c>
      <c r="O10" t="s">
        <v>8</v>
      </c>
      <c r="P10">
        <f>16+76</f>
        <v>92</v>
      </c>
      <c r="R10">
        <v>42.34</v>
      </c>
      <c r="S10">
        <v>29.75</v>
      </c>
      <c r="T10">
        <v>0</v>
      </c>
      <c r="U10">
        <v>35.659999999999997</v>
      </c>
    </row>
    <row r="11" spans="1:22" x14ac:dyDescent="0.25">
      <c r="A11" t="s">
        <v>9</v>
      </c>
      <c r="B11">
        <f>6872.65+4213.37+987.84+3540.15</f>
        <v>15614.01</v>
      </c>
      <c r="C11" s="7">
        <f t="shared" si="0"/>
        <v>1.1311221385105767</v>
      </c>
      <c r="D11">
        <f>16902.34-74.03-23.81</f>
        <v>16804.5</v>
      </c>
      <c r="E11" s="7">
        <f t="shared" si="1"/>
        <v>1.0083103324132965</v>
      </c>
      <c r="F11">
        <v>17769.68</v>
      </c>
      <c r="H11">
        <v>19347.439999999999</v>
      </c>
      <c r="J11">
        <v>18334.939999999999</v>
      </c>
      <c r="O11" t="s">
        <v>9</v>
      </c>
      <c r="P11">
        <v>66.349999999999994</v>
      </c>
      <c r="R11">
        <v>13.79</v>
      </c>
      <c r="S11">
        <v>37.909999999999997</v>
      </c>
      <c r="T11">
        <v>24.55</v>
      </c>
      <c r="U11">
        <v>6.17</v>
      </c>
    </row>
    <row r="12" spans="1:22" x14ac:dyDescent="0.25">
      <c r="A12" t="s">
        <v>10</v>
      </c>
      <c r="B12">
        <f>6658.57+2125.54+99.82+5992.79</f>
        <v>14876.720000000001</v>
      </c>
      <c r="C12" s="7">
        <f t="shared" si="0"/>
        <v>1.0777108084613156</v>
      </c>
      <c r="D12">
        <f>10894.99+11920.76</f>
        <v>22815.75</v>
      </c>
      <c r="E12" s="7">
        <f t="shared" si="1"/>
        <v>1.3689997599903996</v>
      </c>
      <c r="F12">
        <v>18708.560000000001</v>
      </c>
      <c r="H12">
        <v>16307.01</v>
      </c>
      <c r="J12">
        <v>16517.91</v>
      </c>
      <c r="O12" t="s">
        <v>10</v>
      </c>
      <c r="P12">
        <v>94</v>
      </c>
      <c r="R12">
        <v>37.78</v>
      </c>
      <c r="S12">
        <v>24.45</v>
      </c>
      <c r="T12">
        <v>13.87</v>
      </c>
      <c r="U12">
        <v>37.979999999999997</v>
      </c>
    </row>
    <row r="13" spans="1:22" x14ac:dyDescent="0.25">
      <c r="A13" t="s">
        <v>11</v>
      </c>
      <c r="B13">
        <f>1397.51+1452.28+5768.8+563.89+461.48+4807.17</f>
        <v>14451.13</v>
      </c>
      <c r="C13" s="7">
        <f t="shared" si="0"/>
        <v>1.0468798898869893</v>
      </c>
      <c r="D13">
        <v>16750.54</v>
      </c>
      <c r="E13" s="7">
        <f t="shared" si="1"/>
        <v>1.0050726029041162</v>
      </c>
      <c r="F13">
        <v>20987.45</v>
      </c>
      <c r="H13">
        <f>16369.97+1232.19</f>
        <v>17602.16</v>
      </c>
      <c r="J13">
        <v>15380.44</v>
      </c>
      <c r="O13" t="s">
        <v>11</v>
      </c>
      <c r="P13">
        <f>28+56</f>
        <v>84</v>
      </c>
      <c r="R13">
        <v>33.380000000000003</v>
      </c>
      <c r="S13">
        <v>0</v>
      </c>
      <c r="T13">
        <v>4.45</v>
      </c>
      <c r="U13">
        <v>13.48</v>
      </c>
    </row>
    <row r="14" spans="1:22" x14ac:dyDescent="0.25">
      <c r="E14" s="6"/>
      <c r="P14" s="1">
        <f>SUM(P2:P13)</f>
        <v>1074.3600000000001</v>
      </c>
      <c r="Q14" s="1"/>
      <c r="R14" s="1">
        <f>SUM(R2:R13)</f>
        <v>603.66999999999996</v>
      </c>
      <c r="S14" s="1">
        <f>SUM(S2:S13)</f>
        <v>125.53</v>
      </c>
      <c r="T14" s="1">
        <f>SUM(T2:T13)</f>
        <v>151.23000000000002</v>
      </c>
      <c r="U14" s="1">
        <f>SUM(U2:U13)</f>
        <v>178.60999999999999</v>
      </c>
    </row>
    <row r="15" spans="1:22" x14ac:dyDescent="0.25">
      <c r="E15" s="6"/>
    </row>
    <row r="16" spans="1:22" x14ac:dyDescent="0.25">
      <c r="B16" s="1">
        <f>SUM(B2:B15)</f>
        <v>165653.17000000001</v>
      </c>
      <c r="C16" s="1"/>
      <c r="D16" s="1">
        <f>SUM(D2:D15)</f>
        <v>188770.89</v>
      </c>
      <c r="E16" s="6">
        <f>+(D16-B16)/B16</f>
        <v>0.13955495086511172</v>
      </c>
      <c r="F16" s="1">
        <f>SUM(F2:F15)</f>
        <v>214220.95</v>
      </c>
      <c r="G16">
        <f>+F16+D11+D12+D13-F11-F12-F13</f>
        <v>213126.05</v>
      </c>
      <c r="H16" s="1">
        <f>SUM(H2:H15)</f>
        <v>214426.37</v>
      </c>
      <c r="I16">
        <f>+H16+F11+F12+F13-H11-H12-H13</f>
        <v>218635.44999999998</v>
      </c>
      <c r="J16" s="1">
        <f>SUM(J2:J13)</f>
        <v>199062.28</v>
      </c>
      <c r="K16">
        <f>+J16+H11+H12+H13-J11-J12-J13</f>
        <v>202085.6</v>
      </c>
    </row>
    <row r="19" spans="1:21" x14ac:dyDescent="0.25">
      <c r="A19" s="1" t="s">
        <v>13</v>
      </c>
      <c r="D19" s="4" t="s">
        <v>15</v>
      </c>
      <c r="E19" s="5"/>
      <c r="F19" s="4" t="s">
        <v>46</v>
      </c>
      <c r="G19" s="4" t="s">
        <v>49</v>
      </c>
      <c r="H19" s="4" t="s">
        <v>56</v>
      </c>
      <c r="I19" s="4" t="s">
        <v>62</v>
      </c>
    </row>
    <row r="20" spans="1:21" x14ac:dyDescent="0.25">
      <c r="A20" t="s">
        <v>0</v>
      </c>
      <c r="B20">
        <v>2170</v>
      </c>
      <c r="D20">
        <v>2509</v>
      </c>
      <c r="F20">
        <v>0</v>
      </c>
      <c r="G20">
        <v>0</v>
      </c>
      <c r="H20">
        <v>93.65</v>
      </c>
      <c r="I20">
        <v>0</v>
      </c>
    </row>
    <row r="21" spans="1:21" x14ac:dyDescent="0.25">
      <c r="A21" t="s">
        <v>1</v>
      </c>
      <c r="B21">
        <v>1638</v>
      </c>
      <c r="D21">
        <v>1156</v>
      </c>
      <c r="F21">
        <v>0</v>
      </c>
      <c r="G21">
        <v>0</v>
      </c>
      <c r="H21">
        <v>161.91999999999999</v>
      </c>
      <c r="I21">
        <v>0</v>
      </c>
    </row>
    <row r="22" spans="1:21" x14ac:dyDescent="0.25">
      <c r="A22" t="s">
        <v>2</v>
      </c>
      <c r="B22">
        <v>1654</v>
      </c>
      <c r="D22">
        <v>1256.73</v>
      </c>
      <c r="F22">
        <v>0</v>
      </c>
      <c r="G22">
        <v>0</v>
      </c>
      <c r="H22">
        <v>46.62</v>
      </c>
    </row>
    <row r="23" spans="1:21" x14ac:dyDescent="0.25">
      <c r="A23" t="s">
        <v>3</v>
      </c>
      <c r="B23">
        <v>686</v>
      </c>
      <c r="D23">
        <v>1044.56</v>
      </c>
      <c r="F23">
        <v>0</v>
      </c>
      <c r="G23">
        <v>0</v>
      </c>
      <c r="H23">
        <v>143.27000000000001</v>
      </c>
      <c r="O23" t="s">
        <v>40</v>
      </c>
      <c r="P23" t="s">
        <v>41</v>
      </c>
      <c r="Q23" t="s">
        <v>42</v>
      </c>
      <c r="S23" t="s">
        <v>43</v>
      </c>
    </row>
    <row r="24" spans="1:21" x14ac:dyDescent="0.25">
      <c r="A24" t="s">
        <v>4</v>
      </c>
      <c r="B24">
        <v>742</v>
      </c>
      <c r="D24">
        <v>388.82</v>
      </c>
      <c r="F24">
        <v>0</v>
      </c>
      <c r="G24">
        <v>0</v>
      </c>
      <c r="H24">
        <v>23.82</v>
      </c>
    </row>
    <row r="25" spans="1:21" x14ac:dyDescent="0.25">
      <c r="A25" t="s">
        <v>5</v>
      </c>
      <c r="B25">
        <v>1210</v>
      </c>
      <c r="D25">
        <v>70.22</v>
      </c>
      <c r="F25">
        <v>0</v>
      </c>
      <c r="G25">
        <v>0</v>
      </c>
      <c r="H25">
        <v>91.95</v>
      </c>
      <c r="O25">
        <v>23000</v>
      </c>
      <c r="P25">
        <f>+O25/23</f>
        <v>1000</v>
      </c>
      <c r="Q25">
        <f>+P25/24</f>
        <v>41.666666666666664</v>
      </c>
      <c r="S25">
        <v>24000</v>
      </c>
      <c r="T25">
        <f>+S25/22</f>
        <v>1090.909090909091</v>
      </c>
      <c r="U25">
        <f>+T25/288</f>
        <v>3.7878787878787881</v>
      </c>
    </row>
    <row r="26" spans="1:21" x14ac:dyDescent="0.25">
      <c r="A26" t="s">
        <v>6</v>
      </c>
      <c r="B26">
        <v>514</v>
      </c>
      <c r="D26">
        <v>1590.51</v>
      </c>
      <c r="F26">
        <v>0</v>
      </c>
      <c r="G26">
        <v>0</v>
      </c>
      <c r="H26">
        <v>185.08</v>
      </c>
    </row>
    <row r="27" spans="1:21" x14ac:dyDescent="0.25">
      <c r="A27" t="s">
        <v>7</v>
      </c>
      <c r="B27">
        <v>1171</v>
      </c>
      <c r="D27">
        <v>1601.29</v>
      </c>
      <c r="F27">
        <v>0</v>
      </c>
      <c r="G27">
        <v>0</v>
      </c>
      <c r="H27">
        <v>69.95</v>
      </c>
      <c r="O27" t="s">
        <v>44</v>
      </c>
    </row>
    <row r="28" spans="1:21" x14ac:dyDescent="0.25">
      <c r="A28" t="s">
        <v>8</v>
      </c>
      <c r="B28">
        <f>136+1263</f>
        <v>1399</v>
      </c>
      <c r="D28">
        <f>101.28+194.22</f>
        <v>295.5</v>
      </c>
      <c r="F28">
        <v>0</v>
      </c>
      <c r="G28">
        <v>0</v>
      </c>
      <c r="H28">
        <v>0</v>
      </c>
      <c r="I28" t="s">
        <v>54</v>
      </c>
    </row>
    <row r="29" spans="1:21" x14ac:dyDescent="0.25">
      <c r="A29" t="s">
        <v>9</v>
      </c>
      <c r="B29">
        <v>2188</v>
      </c>
      <c r="D29">
        <f>129.54+35.18</f>
        <v>164.72</v>
      </c>
      <c r="F29">
        <v>0</v>
      </c>
      <c r="G29">
        <v>0</v>
      </c>
      <c r="H29">
        <v>0</v>
      </c>
      <c r="O29">
        <v>16900</v>
      </c>
      <c r="P29">
        <f>+O29/23</f>
        <v>734.78260869565213</v>
      </c>
      <c r="Q29">
        <f>+P29/24</f>
        <v>30.615942028985504</v>
      </c>
    </row>
    <row r="30" spans="1:21" x14ac:dyDescent="0.25">
      <c r="A30" t="s">
        <v>10</v>
      </c>
      <c r="B30">
        <v>1881</v>
      </c>
      <c r="D30">
        <v>1041.47</v>
      </c>
      <c r="F30">
        <v>0</v>
      </c>
      <c r="G30">
        <v>0</v>
      </c>
      <c r="H30">
        <v>0</v>
      </c>
    </row>
    <row r="31" spans="1:21" x14ac:dyDescent="0.25">
      <c r="A31" t="s">
        <v>11</v>
      </c>
      <c r="B31">
        <f>508+1708</f>
        <v>2216</v>
      </c>
      <c r="D31">
        <v>0</v>
      </c>
      <c r="F31">
        <v>0</v>
      </c>
      <c r="H31">
        <v>0</v>
      </c>
    </row>
    <row r="32" spans="1:21" x14ac:dyDescent="0.25">
      <c r="B32" s="1">
        <f>SUM(B20:B31)</f>
        <v>17469</v>
      </c>
      <c r="C32" s="1"/>
      <c r="D32" s="1">
        <f>SUM(D20:D31)</f>
        <v>11118.819999999998</v>
      </c>
      <c r="F32" s="1">
        <f>SUM(F20:F31)</f>
        <v>0</v>
      </c>
      <c r="O32" t="s">
        <v>45</v>
      </c>
    </row>
    <row r="34" spans="15:17" x14ac:dyDescent="0.25">
      <c r="O34">
        <v>200000</v>
      </c>
      <c r="P34">
        <f>+O34/22</f>
        <v>9090.9090909090901</v>
      </c>
      <c r="Q34">
        <f>+P34/288</f>
        <v>31.565656565656564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92"/>
  <sheetViews>
    <sheetView tabSelected="1" zoomScaleNormal="100" workbookViewId="0">
      <pane xSplit="1" ySplit="2" topLeftCell="B67" activePane="bottomRight" state="frozenSplit"/>
      <selection pane="topRight" activeCell="O10" sqref="O10"/>
      <selection pane="bottomLeft" activeCell="A3" sqref="A3"/>
      <selection pane="bottomRight" activeCell="I89" sqref="I89"/>
    </sheetView>
  </sheetViews>
  <sheetFormatPr defaultRowHeight="15" x14ac:dyDescent="0.25"/>
  <cols>
    <col min="2" max="2" width="12.42578125" bestFit="1" customWidth="1"/>
    <col min="3" max="3" width="17" bestFit="1" customWidth="1"/>
    <col min="4" max="4" width="12.5703125" bestFit="1" customWidth="1"/>
    <col min="5" max="5" width="15.5703125" bestFit="1" customWidth="1"/>
    <col min="6" max="7" width="15.42578125" customWidth="1"/>
    <col min="9" max="9" width="11.42578125" bestFit="1" customWidth="1"/>
    <col min="10" max="10" width="14.140625" bestFit="1" customWidth="1"/>
    <col min="11" max="11" width="9.28515625" bestFit="1" customWidth="1"/>
    <col min="13" max="13" width="12.5703125" bestFit="1" customWidth="1"/>
    <col min="14" max="14" width="11.140625" bestFit="1" customWidth="1"/>
    <col min="15" max="15" width="13.85546875" bestFit="1" customWidth="1"/>
    <col min="17" max="17" width="10.140625" bestFit="1" customWidth="1"/>
  </cols>
  <sheetData>
    <row r="1" spans="1:14" x14ac:dyDescent="0.25">
      <c r="A1" s="1" t="s">
        <v>15</v>
      </c>
      <c r="B1" s="13" t="s">
        <v>21</v>
      </c>
      <c r="C1" s="13"/>
      <c r="D1" s="13"/>
      <c r="E1" s="13"/>
      <c r="F1" s="13"/>
      <c r="G1" s="13"/>
      <c r="H1" s="13"/>
      <c r="I1" s="13" t="s">
        <v>22</v>
      </c>
      <c r="J1" s="13"/>
      <c r="M1" s="13" t="s">
        <v>29</v>
      </c>
      <c r="N1" s="13"/>
    </row>
    <row r="2" spans="1:14" x14ac:dyDescent="0.25">
      <c r="A2" s="1" t="s">
        <v>16</v>
      </c>
      <c r="B2" s="4" t="s">
        <v>12</v>
      </c>
      <c r="C2" s="4" t="s">
        <v>17</v>
      </c>
      <c r="D2" s="4" t="s">
        <v>14</v>
      </c>
      <c r="E2" s="4" t="s">
        <v>18</v>
      </c>
      <c r="F2" s="4" t="s">
        <v>23</v>
      </c>
      <c r="G2" s="4" t="s">
        <v>24</v>
      </c>
      <c r="H2" s="4"/>
      <c r="I2" s="4" t="s">
        <v>19</v>
      </c>
      <c r="J2" s="4" t="s">
        <v>20</v>
      </c>
      <c r="K2" s="4" t="s">
        <v>24</v>
      </c>
      <c r="L2" s="5"/>
      <c r="M2" s="4" t="s">
        <v>23</v>
      </c>
      <c r="N2" s="4" t="s">
        <v>24</v>
      </c>
    </row>
    <row r="3" spans="1:14" x14ac:dyDescent="0.25">
      <c r="A3" t="s">
        <v>25</v>
      </c>
      <c r="B3">
        <f>7911.72+885.29+1356.41+3668.14</f>
        <v>13821.56</v>
      </c>
      <c r="C3">
        <v>2509.0700000000002</v>
      </c>
      <c r="D3">
        <v>39.81</v>
      </c>
      <c r="E3">
        <v>0</v>
      </c>
      <c r="F3" s="2">
        <v>686605.93</v>
      </c>
      <c r="G3" s="3">
        <f>+F3/(B3+C3+D3+E3)</f>
        <v>41.941812804054145</v>
      </c>
      <c r="I3">
        <v>5005.4799999999996</v>
      </c>
      <c r="J3" s="2">
        <v>156374.45000000001</v>
      </c>
      <c r="K3" s="3">
        <f>+J3/I3</f>
        <v>31.240650247328933</v>
      </c>
      <c r="M3" s="3">
        <v>0</v>
      </c>
      <c r="N3" s="3">
        <v>26</v>
      </c>
    </row>
    <row r="4" spans="1:14" x14ac:dyDescent="0.25">
      <c r="A4" t="s">
        <v>26</v>
      </c>
      <c r="B4">
        <f>4266.63+47.45+2730.84+7829.12</f>
        <v>14874.04</v>
      </c>
      <c r="C4">
        <v>1155.45</v>
      </c>
      <c r="D4">
        <v>26.78</v>
      </c>
      <c r="E4">
        <v>2266.27</v>
      </c>
      <c r="F4" s="2">
        <v>500308.94</v>
      </c>
      <c r="G4" s="3">
        <f t="shared" ref="G4:G15" si="0">+F4/(B4+C4+D4+E4)</f>
        <v>27.305654128739793</v>
      </c>
      <c r="I4">
        <v>10676.95</v>
      </c>
      <c r="J4" s="2">
        <v>332390.12</v>
      </c>
      <c r="K4" s="3">
        <f t="shared" ref="K4:K15" si="1">+J4/I4</f>
        <v>31.131560979493205</v>
      </c>
      <c r="M4" s="3">
        <f>2266.27*26</f>
        <v>58923.02</v>
      </c>
      <c r="N4" s="3">
        <v>26</v>
      </c>
    </row>
    <row r="5" spans="1:14" x14ac:dyDescent="0.25">
      <c r="A5" t="s">
        <v>27</v>
      </c>
      <c r="B5">
        <f>3972.91+565.8+2984.21+9010.53</f>
        <v>16533.45</v>
      </c>
      <c r="C5">
        <v>129.07</v>
      </c>
      <c r="D5">
        <v>129.07</v>
      </c>
      <c r="E5">
        <f>1659.88+701.7</f>
        <v>2361.58</v>
      </c>
      <c r="F5" s="2">
        <v>550637.76</v>
      </c>
      <c r="G5" s="3">
        <f t="shared" si="0"/>
        <v>28.749171024953053</v>
      </c>
      <c r="I5">
        <v>11781.47</v>
      </c>
      <c r="J5" s="2">
        <v>365269.07</v>
      </c>
      <c r="K5" s="3">
        <f t="shared" si="1"/>
        <v>31.003692238744403</v>
      </c>
      <c r="M5" s="3">
        <f>+E5*26</f>
        <v>61401.08</v>
      </c>
      <c r="N5" s="3">
        <v>26</v>
      </c>
    </row>
    <row r="6" spans="1:14" x14ac:dyDescent="0.25">
      <c r="A6" t="s">
        <v>28</v>
      </c>
      <c r="B6">
        <f>2983.67+2750.52+7738.95+65.48</f>
        <v>13538.619999999999</v>
      </c>
      <c r="C6">
        <v>1044.56</v>
      </c>
      <c r="D6">
        <v>51.45</v>
      </c>
      <c r="E6">
        <v>129.13</v>
      </c>
      <c r="F6" s="2">
        <v>410624.59</v>
      </c>
      <c r="G6" s="3">
        <f t="shared" si="0"/>
        <v>27.813009016673263</v>
      </c>
      <c r="I6">
        <v>10457.370000000001</v>
      </c>
      <c r="J6" s="2">
        <v>324221.34000000003</v>
      </c>
      <c r="K6" s="3">
        <f t="shared" si="1"/>
        <v>31.004099501117395</v>
      </c>
      <c r="M6" s="3">
        <f>+E6*26</f>
        <v>3357.38</v>
      </c>
      <c r="N6" s="3">
        <v>26</v>
      </c>
    </row>
    <row r="7" spans="1:14" x14ac:dyDescent="0.25">
      <c r="A7" t="s">
        <v>30</v>
      </c>
      <c r="B7">
        <f>7543.16+2039.75+196.06</f>
        <v>9778.9699999999993</v>
      </c>
      <c r="C7">
        <v>388.82</v>
      </c>
      <c r="D7">
        <v>37.83</v>
      </c>
      <c r="E7">
        <v>0</v>
      </c>
      <c r="F7" s="2">
        <v>261942.47</v>
      </c>
      <c r="G7" s="3">
        <f t="shared" si="0"/>
        <v>25.666492579578705</v>
      </c>
      <c r="I7">
        <v>7543.16</v>
      </c>
      <c r="J7" s="2">
        <v>233837.96</v>
      </c>
      <c r="K7" s="3">
        <f t="shared" si="1"/>
        <v>31</v>
      </c>
      <c r="M7">
        <v>0</v>
      </c>
      <c r="N7" s="3">
        <v>0</v>
      </c>
    </row>
    <row r="8" spans="1:14" x14ac:dyDescent="0.25">
      <c r="A8" t="s">
        <v>31</v>
      </c>
      <c r="B8">
        <f>5772.68+9055.84+492.46+180.37</f>
        <v>15501.35</v>
      </c>
      <c r="C8">
        <v>70.22</v>
      </c>
      <c r="D8">
        <v>69.98</v>
      </c>
      <c r="E8">
        <v>0</v>
      </c>
      <c r="F8" s="2">
        <v>305471.59999999998</v>
      </c>
      <c r="G8" s="3">
        <f t="shared" si="0"/>
        <v>19.529496757034948</v>
      </c>
      <c r="I8">
        <v>14664.05</v>
      </c>
      <c r="J8" s="2">
        <v>454007.07</v>
      </c>
      <c r="K8" s="3">
        <f t="shared" si="1"/>
        <v>30.960551143783608</v>
      </c>
      <c r="M8">
        <v>0</v>
      </c>
      <c r="N8" s="3">
        <v>0</v>
      </c>
    </row>
    <row r="9" spans="1:14" x14ac:dyDescent="0.25">
      <c r="A9" t="s">
        <v>32</v>
      </c>
      <c r="B9">
        <f>3718.9+498.43+3751.81+9150.23</f>
        <v>17119.37</v>
      </c>
      <c r="C9">
        <v>1590.51</v>
      </c>
      <c r="D9">
        <v>68.34</v>
      </c>
      <c r="E9">
        <v>0</v>
      </c>
      <c r="F9" s="2">
        <v>553019</v>
      </c>
      <c r="G9" s="3">
        <f t="shared" si="0"/>
        <v>29.450022419590358</v>
      </c>
      <c r="I9">
        <v>12927.94</v>
      </c>
      <c r="J9" s="2">
        <v>402390.57</v>
      </c>
      <c r="K9" s="3">
        <f t="shared" si="1"/>
        <v>31.125652656184975</v>
      </c>
      <c r="M9">
        <v>0</v>
      </c>
      <c r="N9" s="3">
        <v>0</v>
      </c>
    </row>
    <row r="10" spans="1:14" x14ac:dyDescent="0.25">
      <c r="A10" t="s">
        <v>33</v>
      </c>
      <c r="B10">
        <f>3552.97+244.09+3652.4+8903.72</f>
        <v>16353.18</v>
      </c>
      <c r="C10">
        <v>1601.29</v>
      </c>
      <c r="D10">
        <v>50.12</v>
      </c>
      <c r="E10">
        <v>0</v>
      </c>
      <c r="F10" s="2">
        <v>512050.6</v>
      </c>
      <c r="G10" s="3">
        <f t="shared" si="0"/>
        <v>28.440003354700107</v>
      </c>
      <c r="I10">
        <v>12542.86</v>
      </c>
      <c r="J10" s="2">
        <v>362407.2</v>
      </c>
      <c r="K10" s="3">
        <f t="shared" si="1"/>
        <v>28.893505946809579</v>
      </c>
      <c r="M10">
        <v>0</v>
      </c>
      <c r="N10" s="3">
        <v>0</v>
      </c>
    </row>
    <row r="11" spans="1:14" x14ac:dyDescent="0.25">
      <c r="A11" t="s">
        <v>38</v>
      </c>
      <c r="B11">
        <v>4936.68</v>
      </c>
      <c r="C11">
        <v>158.72999999999999</v>
      </c>
      <c r="D11">
        <v>9.3800000000000008</v>
      </c>
      <c r="E11">
        <v>0</v>
      </c>
      <c r="F11" s="2">
        <v>111492.31</v>
      </c>
      <c r="G11" s="3">
        <f t="shared" si="0"/>
        <v>21.840724104223678</v>
      </c>
      <c r="J11" s="2"/>
      <c r="K11" s="3"/>
      <c r="M11">
        <v>0</v>
      </c>
      <c r="N11" s="3">
        <v>0</v>
      </c>
    </row>
    <row r="12" spans="1:14" x14ac:dyDescent="0.25">
      <c r="A12" t="s">
        <v>39</v>
      </c>
      <c r="B12">
        <f>4118.36+6005.91+5+362.15</f>
        <v>10491.42</v>
      </c>
      <c r="C12">
        <f>194.22+101.28</f>
        <v>295.5</v>
      </c>
      <c r="D12">
        <v>42.34</v>
      </c>
      <c r="E12">
        <v>0</v>
      </c>
      <c r="F12" s="2">
        <v>125634.77</v>
      </c>
      <c r="G12" s="3">
        <f t="shared" si="0"/>
        <v>11.601417825410048</v>
      </c>
      <c r="I12">
        <v>13737.35</v>
      </c>
      <c r="J12" s="2">
        <v>399833.21</v>
      </c>
      <c r="K12" s="3">
        <f t="shared" si="1"/>
        <v>29.105556020629891</v>
      </c>
      <c r="M12">
        <v>0</v>
      </c>
      <c r="N12" s="3">
        <v>0</v>
      </c>
    </row>
    <row r="13" spans="1:14" x14ac:dyDescent="0.25">
      <c r="A13" t="s">
        <v>34</v>
      </c>
      <c r="B13">
        <f>7632.93+9576.06+74.03+23.81</f>
        <v>17306.829999999998</v>
      </c>
      <c r="C13">
        <f>35.18+129.54</f>
        <v>164.72</v>
      </c>
      <c r="D13">
        <v>13.79</v>
      </c>
      <c r="E13">
        <v>0</v>
      </c>
      <c r="F13" s="2">
        <v>153442.47</v>
      </c>
      <c r="G13" s="3">
        <f t="shared" si="0"/>
        <v>8.7754924982871358</v>
      </c>
      <c r="I13">
        <v>16902.34</v>
      </c>
      <c r="J13" s="2">
        <v>490167.86</v>
      </c>
      <c r="K13" s="3">
        <f t="shared" si="1"/>
        <v>29</v>
      </c>
      <c r="M13">
        <v>0</v>
      </c>
      <c r="N13" s="3">
        <v>0</v>
      </c>
    </row>
    <row r="14" spans="1:14" x14ac:dyDescent="0.25">
      <c r="A14" t="s">
        <v>35</v>
      </c>
      <c r="B14">
        <f>10894.99+11920.76</f>
        <v>22815.75</v>
      </c>
      <c r="C14">
        <v>1041.47</v>
      </c>
      <c r="D14">
        <v>37.78</v>
      </c>
      <c r="F14" s="2">
        <v>222278.86</v>
      </c>
      <c r="G14" s="3">
        <f t="shared" si="0"/>
        <v>9.3023168026783836</v>
      </c>
      <c r="I14">
        <v>22605.23</v>
      </c>
      <c r="J14" s="2">
        <v>655551.67000000004</v>
      </c>
      <c r="K14" s="3">
        <f t="shared" si="1"/>
        <v>29.000000000000004</v>
      </c>
      <c r="M14">
        <v>0</v>
      </c>
      <c r="N14" s="3">
        <v>0</v>
      </c>
    </row>
    <row r="15" spans="1:14" x14ac:dyDescent="0.25">
      <c r="A15" t="s">
        <v>36</v>
      </c>
      <c r="B15">
        <f>8966.83+7870.73</f>
        <v>16837.559999999998</v>
      </c>
      <c r="C15">
        <v>0</v>
      </c>
      <c r="D15">
        <v>33.380000000000003</v>
      </c>
      <c r="E15">
        <v>0</v>
      </c>
      <c r="F15" s="2">
        <v>136633.78</v>
      </c>
      <c r="G15" s="3">
        <f t="shared" si="0"/>
        <v>8.0987650954837136</v>
      </c>
      <c r="I15">
        <v>16750.54</v>
      </c>
      <c r="J15" s="2">
        <v>485765.66</v>
      </c>
      <c r="K15" s="3">
        <f t="shared" si="1"/>
        <v>28.999999999999996</v>
      </c>
      <c r="M15">
        <v>0</v>
      </c>
      <c r="N15" s="3">
        <v>0</v>
      </c>
    </row>
    <row r="16" spans="1:14" x14ac:dyDescent="0.25">
      <c r="A16" t="s">
        <v>37</v>
      </c>
      <c r="B16">
        <f>SUM(B3:B15)</f>
        <v>189908.78</v>
      </c>
      <c r="C16">
        <f t="shared" ref="C16:F16" si="2">SUM(C3:C15)</f>
        <v>10149.41</v>
      </c>
      <c r="D16">
        <f t="shared" si="2"/>
        <v>610.04999999999995</v>
      </c>
      <c r="E16">
        <f t="shared" si="2"/>
        <v>4756.9800000000005</v>
      </c>
      <c r="F16" s="3">
        <f t="shared" si="2"/>
        <v>4530143.080000001</v>
      </c>
      <c r="G16" s="3">
        <f t="shared" ref="G16" si="3">+F16/(B16+C16+D16+E16)</f>
        <v>22.052516628678802</v>
      </c>
      <c r="I16">
        <f t="shared" ref="I16" si="4">SUM(I3:I15)</f>
        <v>155594.74000000002</v>
      </c>
      <c r="J16" s="3">
        <f t="shared" ref="J16" si="5">SUM(J3:J15)</f>
        <v>4662216.18</v>
      </c>
      <c r="K16" s="3">
        <f t="shared" ref="K16" si="6">+J16/I16</f>
        <v>29.96384183681273</v>
      </c>
      <c r="M16" s="3">
        <f>+E16*26</f>
        <v>123681.48000000001</v>
      </c>
      <c r="N16" s="3">
        <v>26</v>
      </c>
    </row>
    <row r="19" spans="1:15" x14ac:dyDescent="0.25">
      <c r="G19" s="3">
        <f>+F16+J16+M16</f>
        <v>9316040.7400000021</v>
      </c>
    </row>
    <row r="21" spans="1:15" x14ac:dyDescent="0.25">
      <c r="B21" s="13" t="s">
        <v>21</v>
      </c>
      <c r="C21" s="13"/>
      <c r="D21" s="13"/>
      <c r="E21" s="13"/>
      <c r="F21" s="13"/>
      <c r="G21" s="13"/>
      <c r="H21" s="13"/>
      <c r="I21" s="13" t="s">
        <v>22</v>
      </c>
      <c r="J21" s="13"/>
      <c r="M21" s="13" t="s">
        <v>29</v>
      </c>
      <c r="N21" s="13"/>
    </row>
    <row r="22" spans="1:15" x14ac:dyDescent="0.25">
      <c r="A22" s="1" t="s">
        <v>46</v>
      </c>
      <c r="B22" s="4" t="s">
        <v>12</v>
      </c>
      <c r="C22" s="4" t="s">
        <v>17</v>
      </c>
      <c r="D22" s="4" t="s">
        <v>14</v>
      </c>
      <c r="E22" s="4" t="s">
        <v>18</v>
      </c>
      <c r="F22" s="4" t="s">
        <v>23</v>
      </c>
      <c r="G22" s="4" t="s">
        <v>24</v>
      </c>
      <c r="H22" s="4"/>
      <c r="I22" s="4" t="s">
        <v>19</v>
      </c>
      <c r="J22" s="4" t="s">
        <v>20</v>
      </c>
      <c r="K22" s="4" t="s">
        <v>24</v>
      </c>
      <c r="L22" s="5"/>
      <c r="M22" s="4" t="s">
        <v>47</v>
      </c>
      <c r="N22" s="4" t="s">
        <v>23</v>
      </c>
      <c r="O22" s="4" t="s">
        <v>24</v>
      </c>
    </row>
    <row r="23" spans="1:15" x14ac:dyDescent="0.25">
      <c r="A23" t="s">
        <v>25</v>
      </c>
      <c r="B23">
        <f>8491.09+8647.36</f>
        <v>17138.45</v>
      </c>
      <c r="C23">
        <v>0</v>
      </c>
      <c r="D23">
        <v>0</v>
      </c>
      <c r="E23">
        <v>0</v>
      </c>
      <c r="F23" s="2">
        <v>142584</v>
      </c>
      <c r="G23" s="3">
        <f>+F23/B23</f>
        <v>8.3195388147702971</v>
      </c>
      <c r="I23">
        <v>17137.8</v>
      </c>
      <c r="J23" s="3">
        <v>496996.2</v>
      </c>
      <c r="K23" s="3">
        <f t="shared" ref="K23:K35" si="7">+J23/I23</f>
        <v>29.000000000000004</v>
      </c>
      <c r="M23">
        <v>0</v>
      </c>
      <c r="N23">
        <v>0</v>
      </c>
      <c r="O23">
        <v>0</v>
      </c>
    </row>
    <row r="24" spans="1:15" x14ac:dyDescent="0.25">
      <c r="A24" t="s">
        <v>26</v>
      </c>
      <c r="B24">
        <f>8747.75+10222.07</f>
        <v>18969.82</v>
      </c>
      <c r="C24">
        <v>0</v>
      </c>
      <c r="D24">
        <v>0</v>
      </c>
      <c r="E24">
        <v>1420.96</v>
      </c>
      <c r="F24" s="2">
        <v>176960.68</v>
      </c>
      <c r="G24" s="3">
        <f>+F24/B24</f>
        <v>9.3285376455865148</v>
      </c>
      <c r="I24">
        <v>18971.330000000002</v>
      </c>
      <c r="J24" s="3">
        <v>550168.56999999995</v>
      </c>
      <c r="K24" s="3">
        <f t="shared" si="7"/>
        <v>28.999999999999993</v>
      </c>
      <c r="M24">
        <v>1416.25</v>
      </c>
      <c r="N24" s="3">
        <v>38238.75</v>
      </c>
      <c r="O24" s="3">
        <v>27</v>
      </c>
    </row>
    <row r="25" spans="1:15" x14ac:dyDescent="0.25">
      <c r="A25" t="s">
        <v>27</v>
      </c>
      <c r="B25">
        <f>5918.71+10125.18</f>
        <v>16043.89</v>
      </c>
      <c r="D25">
        <v>12.85</v>
      </c>
      <c r="E25">
        <v>12.78</v>
      </c>
      <c r="F25" s="2">
        <v>161002.73000000001</v>
      </c>
      <c r="G25" s="3">
        <f t="shared" ref="G25:G34" si="8">+F25/(B25+D25+E25)</f>
        <v>10.0191374726812</v>
      </c>
      <c r="I25">
        <v>15975.9</v>
      </c>
      <c r="J25" s="3">
        <v>462659.62</v>
      </c>
      <c r="K25" s="3">
        <f t="shared" si="7"/>
        <v>28.959847019573232</v>
      </c>
      <c r="M25">
        <f>+N25/O25</f>
        <v>1979.9</v>
      </c>
      <c r="N25" s="3">
        <v>53457.3</v>
      </c>
      <c r="O25" s="3">
        <v>27</v>
      </c>
    </row>
    <row r="26" spans="1:15" x14ac:dyDescent="0.25">
      <c r="A26" t="s">
        <v>28</v>
      </c>
      <c r="B26">
        <f>7280.62+10241.16</f>
        <v>17521.78</v>
      </c>
      <c r="C26">
        <v>0</v>
      </c>
      <c r="D26">
        <v>0</v>
      </c>
      <c r="E26">
        <v>284.04000000000002</v>
      </c>
      <c r="F26" s="2">
        <v>153347.85999999999</v>
      </c>
      <c r="G26" s="3">
        <f t="shared" si="8"/>
        <v>8.6122324049103032</v>
      </c>
      <c r="I26">
        <v>17437.12</v>
      </c>
      <c r="J26" s="3">
        <v>506230.28</v>
      </c>
      <c r="K26" s="3">
        <f t="shared" si="7"/>
        <v>29.031759831898849</v>
      </c>
      <c r="M26">
        <f>+N26/O26</f>
        <v>284.04000000000002</v>
      </c>
      <c r="N26" s="3">
        <v>7669.08</v>
      </c>
      <c r="O26" s="3">
        <v>27</v>
      </c>
    </row>
    <row r="27" spans="1:15" x14ac:dyDescent="0.25">
      <c r="A27" t="s">
        <v>30</v>
      </c>
      <c r="B27">
        <f>5029.82+8056.52</f>
        <v>13086.34</v>
      </c>
      <c r="C27">
        <v>0</v>
      </c>
      <c r="D27">
        <v>0</v>
      </c>
      <c r="E27">
        <v>0</v>
      </c>
      <c r="F27" s="2">
        <v>113335.48</v>
      </c>
      <c r="G27" s="3">
        <f t="shared" si="8"/>
        <v>8.6605941768286616</v>
      </c>
      <c r="I27">
        <v>13009.23</v>
      </c>
      <c r="J27" s="3">
        <v>377267.67</v>
      </c>
      <c r="K27" s="3">
        <f t="shared" si="7"/>
        <v>29</v>
      </c>
      <c r="M27">
        <v>0</v>
      </c>
      <c r="N27" s="3">
        <v>0</v>
      </c>
      <c r="O27" s="3">
        <v>27</v>
      </c>
    </row>
    <row r="28" spans="1:15" x14ac:dyDescent="0.25">
      <c r="A28" t="s">
        <v>31</v>
      </c>
      <c r="B28">
        <f>7978.06+9888.48</f>
        <v>17866.54</v>
      </c>
      <c r="C28">
        <v>0</v>
      </c>
      <c r="D28">
        <v>9.7200000000000006</v>
      </c>
      <c r="E28">
        <v>0</v>
      </c>
      <c r="F28" s="2">
        <v>157492.18</v>
      </c>
      <c r="G28" s="3">
        <f t="shared" si="8"/>
        <v>8.8101303068986461</v>
      </c>
      <c r="I28">
        <v>17949.349999999999</v>
      </c>
      <c r="J28" s="3">
        <v>520531.15</v>
      </c>
      <c r="K28" s="3">
        <f t="shared" si="7"/>
        <v>29.000000000000004</v>
      </c>
      <c r="N28" s="3"/>
      <c r="O28" s="3"/>
    </row>
    <row r="29" spans="1:15" x14ac:dyDescent="0.25">
      <c r="A29" t="s">
        <v>32</v>
      </c>
      <c r="B29">
        <f>7597.81+9810.03</f>
        <v>17407.84</v>
      </c>
      <c r="C29">
        <v>0</v>
      </c>
      <c r="D29">
        <v>0</v>
      </c>
      <c r="E29">
        <v>0</v>
      </c>
      <c r="F29" s="2">
        <v>152666.76</v>
      </c>
      <c r="G29" s="3">
        <f t="shared" si="8"/>
        <v>8.7700001838252195</v>
      </c>
      <c r="I29">
        <v>17432.919999999998</v>
      </c>
      <c r="J29" s="3">
        <v>505540.68</v>
      </c>
      <c r="K29" s="3">
        <f t="shared" si="7"/>
        <v>28.999196921686099</v>
      </c>
      <c r="N29" s="3"/>
      <c r="O29" s="3"/>
    </row>
    <row r="30" spans="1:15" x14ac:dyDescent="0.25">
      <c r="A30" t="s">
        <v>33</v>
      </c>
      <c r="B30">
        <f>8386.37+9341.08</f>
        <v>17727.45</v>
      </c>
      <c r="C30">
        <v>0</v>
      </c>
      <c r="D30">
        <v>10.85</v>
      </c>
      <c r="E30">
        <v>0</v>
      </c>
      <c r="F30" s="2">
        <v>155966</v>
      </c>
      <c r="G30" s="3">
        <f t="shared" si="8"/>
        <v>8.7926125953445382</v>
      </c>
      <c r="I30">
        <v>17920.810000000001</v>
      </c>
      <c r="J30" s="3">
        <v>522712.79</v>
      </c>
      <c r="K30" s="3">
        <f t="shared" si="7"/>
        <v>29.167922097271269</v>
      </c>
      <c r="N30" s="3"/>
      <c r="O30" s="3"/>
    </row>
    <row r="31" spans="1:15" x14ac:dyDescent="0.25">
      <c r="A31" t="s">
        <v>48</v>
      </c>
      <c r="B31">
        <f>10131.02+10770</f>
        <v>20901.02</v>
      </c>
      <c r="C31">
        <v>0</v>
      </c>
      <c r="D31">
        <v>29.75</v>
      </c>
      <c r="E31">
        <v>0</v>
      </c>
      <c r="F31" s="2">
        <v>184113.15</v>
      </c>
      <c r="G31" s="3">
        <f t="shared" si="8"/>
        <v>8.7962912974534611</v>
      </c>
      <c r="I31">
        <v>20920.8</v>
      </c>
      <c r="J31" s="3">
        <v>606730.19999999995</v>
      </c>
      <c r="K31" s="3">
        <f t="shared" si="7"/>
        <v>29.001290581622115</v>
      </c>
      <c r="N31" s="3"/>
      <c r="O31" s="3"/>
    </row>
    <row r="32" spans="1:15" x14ac:dyDescent="0.25">
      <c r="A32" t="s">
        <v>34</v>
      </c>
      <c r="B32">
        <f>472.29+1917.04+2369.09+1782.1+2291.31+554.15+2034.93+2169.43+2039.11+2188</f>
        <v>17817.45</v>
      </c>
      <c r="C32">
        <v>0</v>
      </c>
      <c r="D32">
        <v>0</v>
      </c>
      <c r="E32">
        <v>37.909999999999997</v>
      </c>
      <c r="F32" s="2">
        <v>156677.03</v>
      </c>
      <c r="G32" s="3">
        <f t="shared" si="8"/>
        <v>8.7747897550091398</v>
      </c>
      <c r="I32">
        <v>17769.68</v>
      </c>
      <c r="J32" s="3">
        <v>515320.72</v>
      </c>
      <c r="K32" s="3">
        <f t="shared" si="7"/>
        <v>28.999999999999996</v>
      </c>
      <c r="N32" s="3"/>
      <c r="O32" s="3"/>
    </row>
    <row r="33" spans="1:15" x14ac:dyDescent="0.25">
      <c r="A33" t="s">
        <v>35</v>
      </c>
      <c r="B33">
        <f>9412.5+9368.73</f>
        <v>18781.23</v>
      </c>
      <c r="C33">
        <v>0</v>
      </c>
      <c r="D33">
        <v>24.45</v>
      </c>
      <c r="E33">
        <v>0</v>
      </c>
      <c r="F33" s="2">
        <v>164788.71</v>
      </c>
      <c r="G33" s="3">
        <f t="shared" si="8"/>
        <v>8.762709457993541</v>
      </c>
      <c r="I33">
        <v>18708.560000000001</v>
      </c>
      <c r="J33" s="3">
        <v>542548.24</v>
      </c>
      <c r="K33" s="3">
        <f t="shared" si="7"/>
        <v>28.999999999999996</v>
      </c>
      <c r="N33" s="3"/>
      <c r="O33" s="3"/>
    </row>
    <row r="34" spans="1:15" x14ac:dyDescent="0.25">
      <c r="A34" t="s">
        <v>36</v>
      </c>
      <c r="B34">
        <f>10036.68+11075.71</f>
        <v>21112.39</v>
      </c>
      <c r="C34">
        <v>0</v>
      </c>
      <c r="D34">
        <v>0</v>
      </c>
      <c r="E34">
        <v>0</v>
      </c>
      <c r="F34" s="2">
        <v>185303.27</v>
      </c>
      <c r="G34" s="3">
        <f t="shared" si="8"/>
        <v>8.7769916148763834</v>
      </c>
      <c r="I34">
        <v>20987.45</v>
      </c>
      <c r="J34" s="3">
        <v>608636.34</v>
      </c>
      <c r="K34" s="3">
        <f t="shared" si="7"/>
        <v>29.000013817781575</v>
      </c>
      <c r="M34">
        <v>298</v>
      </c>
      <c r="N34" s="3">
        <v>30000</v>
      </c>
      <c r="O34" s="3"/>
    </row>
    <row r="35" spans="1:15" x14ac:dyDescent="0.25">
      <c r="A35" t="s">
        <v>37</v>
      </c>
      <c r="B35">
        <f>SUM(B23:B34)</f>
        <v>214374.2</v>
      </c>
      <c r="C35">
        <f t="shared" ref="C35:E35" si="9">SUM(C23:C34)</f>
        <v>0</v>
      </c>
      <c r="D35">
        <f t="shared" si="9"/>
        <v>87.62</v>
      </c>
      <c r="E35">
        <f t="shared" si="9"/>
        <v>1755.69</v>
      </c>
      <c r="F35" s="2">
        <f>SUM(F23:F34)</f>
        <v>1904237.8499999999</v>
      </c>
      <c r="G35" s="3"/>
      <c r="I35">
        <f>SUM(I23:I34)</f>
        <v>214220.95</v>
      </c>
      <c r="J35" s="3">
        <f>SUM(J23:J34)</f>
        <v>6215342.46</v>
      </c>
      <c r="K35" s="3">
        <f t="shared" si="7"/>
        <v>29.01370038738041</v>
      </c>
      <c r="M35" s="3">
        <f t="shared" ref="M35:N35" si="10">SUM(M23:M34)</f>
        <v>3978.19</v>
      </c>
      <c r="N35" s="3">
        <f t="shared" si="10"/>
        <v>129365.13</v>
      </c>
      <c r="O35" s="3"/>
    </row>
    <row r="36" spans="1:15" x14ac:dyDescent="0.25">
      <c r="F36" s="2"/>
      <c r="G36" s="3"/>
      <c r="N36" s="3"/>
      <c r="O36" s="3"/>
    </row>
    <row r="37" spans="1:15" x14ac:dyDescent="0.25">
      <c r="F37" s="2"/>
      <c r="G37" s="3"/>
      <c r="N37" s="3"/>
      <c r="O37" s="3"/>
    </row>
    <row r="38" spans="1:15" x14ac:dyDescent="0.25">
      <c r="B38" s="13" t="s">
        <v>21</v>
      </c>
      <c r="C38" s="13"/>
      <c r="D38" s="13"/>
      <c r="E38" s="13"/>
      <c r="F38" s="13"/>
      <c r="G38" s="13"/>
      <c r="H38" s="13"/>
      <c r="I38" s="13" t="s">
        <v>22</v>
      </c>
      <c r="J38" s="13"/>
      <c r="M38" s="13" t="s">
        <v>29</v>
      </c>
      <c r="N38" s="13"/>
    </row>
    <row r="39" spans="1:15" x14ac:dyDescent="0.25">
      <c r="A39" s="1" t="s">
        <v>49</v>
      </c>
      <c r="B39" s="4" t="s">
        <v>12</v>
      </c>
      <c r="C39" s="4" t="s">
        <v>17</v>
      </c>
      <c r="D39" s="4" t="s">
        <v>14</v>
      </c>
      <c r="E39" s="4" t="s">
        <v>18</v>
      </c>
      <c r="F39" s="4" t="s">
        <v>23</v>
      </c>
      <c r="G39" s="4" t="s">
        <v>24</v>
      </c>
      <c r="H39" s="4"/>
      <c r="I39" s="4" t="s">
        <v>19</v>
      </c>
      <c r="J39" s="4" t="s">
        <v>20</v>
      </c>
      <c r="K39" s="4" t="s">
        <v>24</v>
      </c>
      <c r="L39" s="5"/>
      <c r="M39" s="4" t="s">
        <v>47</v>
      </c>
      <c r="N39" s="4" t="s">
        <v>23</v>
      </c>
      <c r="O39" s="4" t="s">
        <v>24</v>
      </c>
    </row>
    <row r="40" spans="1:15" x14ac:dyDescent="0.25">
      <c r="A40" t="s">
        <v>25</v>
      </c>
      <c r="B40">
        <f>8832.06+8843.51</f>
        <v>17675.57</v>
      </c>
      <c r="C40">
        <v>0</v>
      </c>
      <c r="D40">
        <v>13.94</v>
      </c>
      <c r="E40">
        <v>0</v>
      </c>
      <c r="F40" s="2">
        <v>154246.85999999999</v>
      </c>
      <c r="G40" s="3">
        <f>+F40/B40</f>
        <v>8.7265564844584915</v>
      </c>
      <c r="I40">
        <v>17543.349999999999</v>
      </c>
      <c r="J40" s="3">
        <v>508757.15</v>
      </c>
      <c r="K40" s="3">
        <f t="shared" ref="K40:K54" si="11">+J40/I40</f>
        <v>29.000000000000004</v>
      </c>
      <c r="M40">
        <v>0</v>
      </c>
      <c r="N40">
        <v>0</v>
      </c>
      <c r="O40" s="3">
        <v>28</v>
      </c>
    </row>
    <row r="41" spans="1:15" x14ac:dyDescent="0.25">
      <c r="A41" t="s">
        <v>26</v>
      </c>
      <c r="B41">
        <f>11130.06+6558.93</f>
        <v>17688.989999999998</v>
      </c>
      <c r="C41">
        <v>0</v>
      </c>
      <c r="D41">
        <v>0</v>
      </c>
      <c r="E41">
        <v>1869.01</v>
      </c>
      <c r="F41" s="2">
        <v>181816.95999999999</v>
      </c>
      <c r="G41" s="3">
        <f>+F41/B41</f>
        <v>10.278538231973675</v>
      </c>
      <c r="I41">
        <v>17489.05</v>
      </c>
      <c r="J41" s="3">
        <v>507182.45</v>
      </c>
      <c r="K41" s="3">
        <f t="shared" si="11"/>
        <v>29.000000000000004</v>
      </c>
      <c r="M41">
        <f>772.25</f>
        <v>772.25</v>
      </c>
      <c r="N41" s="3">
        <v>20850.75</v>
      </c>
      <c r="O41" s="3">
        <f>+N41/M41</f>
        <v>27</v>
      </c>
    </row>
    <row r="42" spans="1:15" x14ac:dyDescent="0.25">
      <c r="A42" t="s">
        <v>27</v>
      </c>
      <c r="B42">
        <f>11803.69+8853.75</f>
        <v>20657.440000000002</v>
      </c>
      <c r="C42">
        <v>0</v>
      </c>
      <c r="D42">
        <v>16.27</v>
      </c>
      <c r="E42">
        <v>2586.48</v>
      </c>
      <c r="F42" s="2">
        <v>216617.94</v>
      </c>
      <c r="G42" s="3">
        <f t="shared" ref="G42:G53" si="12">+F42/(B42+D42+E42)</f>
        <v>9.3128190268437177</v>
      </c>
      <c r="I42">
        <v>20474</v>
      </c>
      <c r="J42" s="3">
        <v>594269.43999999994</v>
      </c>
      <c r="K42" s="3">
        <f t="shared" si="11"/>
        <v>29.025566083813615</v>
      </c>
      <c r="M42">
        <f>643.67+796.73+1478.97+896.77+619.53+451.21</f>
        <v>4886.88</v>
      </c>
      <c r="N42" s="3">
        <v>131945.76</v>
      </c>
      <c r="O42" s="3">
        <f>+N42/M42</f>
        <v>27</v>
      </c>
    </row>
    <row r="43" spans="1:15" x14ac:dyDescent="0.25">
      <c r="A43" t="s">
        <v>28</v>
      </c>
      <c r="B43">
        <f>8823.82+6287.62</f>
        <v>15111.439999999999</v>
      </c>
      <c r="C43">
        <v>0</v>
      </c>
      <c r="D43">
        <v>13.26</v>
      </c>
      <c r="E43">
        <v>193.35</v>
      </c>
      <c r="F43" s="2">
        <v>135313</v>
      </c>
      <c r="G43" s="3">
        <f t="shared" si="12"/>
        <v>8.8335656300899927</v>
      </c>
      <c r="I43">
        <v>15100.2</v>
      </c>
      <c r="J43" s="3">
        <v>437905.8</v>
      </c>
      <c r="K43" s="3">
        <f t="shared" si="11"/>
        <v>28.999999999999996</v>
      </c>
      <c r="M43">
        <v>193.35</v>
      </c>
      <c r="N43" s="3"/>
      <c r="O43" s="3">
        <v>28</v>
      </c>
    </row>
    <row r="44" spans="1:15" x14ac:dyDescent="0.25">
      <c r="A44" t="s">
        <v>30</v>
      </c>
      <c r="B44">
        <f>8179.56+7259.54</f>
        <v>15439.1</v>
      </c>
      <c r="C44">
        <v>0</v>
      </c>
      <c r="D44">
        <v>5.29</v>
      </c>
      <c r="E44">
        <v>0</v>
      </c>
      <c r="F44" s="2">
        <v>136679.87</v>
      </c>
      <c r="G44" s="3">
        <f t="shared" si="12"/>
        <v>8.8498069525568823</v>
      </c>
      <c r="I44">
        <v>15320.15</v>
      </c>
      <c r="J44" s="3">
        <v>444284.35</v>
      </c>
      <c r="K44" s="3">
        <f t="shared" si="11"/>
        <v>29</v>
      </c>
      <c r="M44">
        <v>0</v>
      </c>
      <c r="N44" s="3"/>
      <c r="O44" s="3">
        <v>28</v>
      </c>
    </row>
    <row r="45" spans="1:15" x14ac:dyDescent="0.25">
      <c r="A45" t="s">
        <v>31</v>
      </c>
      <c r="B45">
        <f>9452.22+9699.63</f>
        <v>19151.849999999999</v>
      </c>
      <c r="C45">
        <v>0</v>
      </c>
      <c r="D45">
        <v>8.2100000000000009</v>
      </c>
      <c r="E45">
        <v>0</v>
      </c>
      <c r="F45" s="2">
        <v>171119.8</v>
      </c>
      <c r="G45" s="3">
        <f>+F45/(I45+D45+E45)</f>
        <v>8.8345249010812914</v>
      </c>
      <c r="I45">
        <v>19361.23</v>
      </c>
      <c r="J45" s="3">
        <v>561475.67000000004</v>
      </c>
      <c r="K45" s="3">
        <f t="shared" si="11"/>
        <v>29.000000000000004</v>
      </c>
      <c r="M45">
        <v>6.61</v>
      </c>
      <c r="N45" s="3"/>
      <c r="O45" s="3"/>
    </row>
    <row r="46" spans="1:15" x14ac:dyDescent="0.25">
      <c r="A46" t="s">
        <v>32</v>
      </c>
      <c r="B46">
        <f>9784.69+7903.74</f>
        <v>17688.43</v>
      </c>
      <c r="C46">
        <v>0</v>
      </c>
      <c r="D46">
        <v>27.45</v>
      </c>
      <c r="E46">
        <v>0</v>
      </c>
      <c r="F46" s="2">
        <v>157626.64000000001</v>
      </c>
      <c r="G46" s="3">
        <f t="shared" si="12"/>
        <v>8.8974772915598894</v>
      </c>
      <c r="I46">
        <v>17760.61</v>
      </c>
      <c r="J46" s="3">
        <v>515057.69</v>
      </c>
      <c r="K46" s="3">
        <f t="shared" si="11"/>
        <v>29</v>
      </c>
      <c r="N46" s="3"/>
      <c r="O46" s="3"/>
    </row>
    <row r="47" spans="1:15" x14ac:dyDescent="0.25">
      <c r="A47" t="s">
        <v>33</v>
      </c>
      <c r="B47">
        <f>9001.72+9740.71</f>
        <v>18742.43</v>
      </c>
      <c r="C47">
        <v>0</v>
      </c>
      <c r="D47">
        <v>23.96</v>
      </c>
      <c r="E47">
        <v>0</v>
      </c>
      <c r="F47" s="2">
        <v>163475.6</v>
      </c>
      <c r="G47" s="3">
        <f t="shared" si="12"/>
        <v>8.7110840177572779</v>
      </c>
      <c r="I47">
        <v>18726.12</v>
      </c>
      <c r="J47" s="3">
        <v>543057.48</v>
      </c>
      <c r="K47" s="3">
        <f t="shared" si="11"/>
        <v>29</v>
      </c>
      <c r="M47">
        <v>18.440000000000001</v>
      </c>
      <c r="N47" s="3">
        <f>248.4+249.48</f>
        <v>497.88</v>
      </c>
      <c r="O47" s="3"/>
    </row>
    <row r="48" spans="1:15" x14ac:dyDescent="0.25">
      <c r="A48" t="s">
        <v>48</v>
      </c>
      <c r="B48">
        <f>9588.47+9934.44</f>
        <v>19522.91</v>
      </c>
      <c r="C48">
        <v>0</v>
      </c>
      <c r="D48">
        <v>0</v>
      </c>
      <c r="E48">
        <v>0</v>
      </c>
      <c r="F48" s="2">
        <v>170625.6</v>
      </c>
      <c r="G48" s="3">
        <f t="shared" si="12"/>
        <v>8.7397626685775851</v>
      </c>
      <c r="I48">
        <v>19395.05</v>
      </c>
      <c r="J48" s="3">
        <v>562456.44999999995</v>
      </c>
      <c r="K48" s="3">
        <f t="shared" si="11"/>
        <v>29</v>
      </c>
      <c r="M48">
        <v>1511.53</v>
      </c>
      <c r="N48" s="3">
        <f>153.36+308.61+133.38+11773.08+8638.07+6541.49+4000+367.47+265.14+338.58+306.45+301.59+292.95+271.08</f>
        <v>33691.249999999993</v>
      </c>
      <c r="O48" s="3"/>
    </row>
    <row r="49" spans="1:22" x14ac:dyDescent="0.25">
      <c r="A49" t="s">
        <v>34</v>
      </c>
      <c r="B49">
        <f>10560.59+8726.85</f>
        <v>19287.440000000002</v>
      </c>
      <c r="C49">
        <v>0</v>
      </c>
      <c r="D49">
        <v>24.55</v>
      </c>
      <c r="E49" t="s">
        <v>50</v>
      </c>
      <c r="F49" s="2">
        <v>181501.97</v>
      </c>
      <c r="G49" s="3">
        <f>+F49/(B49+D49)</f>
        <v>9.3984084498800993</v>
      </c>
      <c r="I49">
        <v>19347.439999999999</v>
      </c>
      <c r="J49" s="3">
        <v>561075.76</v>
      </c>
      <c r="K49" s="3">
        <f t="shared" si="11"/>
        <v>29.000000000000004</v>
      </c>
      <c r="M49">
        <v>509.43</v>
      </c>
      <c r="N49" s="3">
        <f>11000+10079.1-367.47-265.14-338.58-306.45-301.59-292.95-271.08</f>
        <v>18935.839999999993</v>
      </c>
      <c r="O49" s="3"/>
    </row>
    <row r="50" spans="1:22" x14ac:dyDescent="0.25">
      <c r="A50" t="s">
        <v>51</v>
      </c>
      <c r="B50">
        <v>6559.9</v>
      </c>
      <c r="C50">
        <v>0</v>
      </c>
      <c r="F50" s="2"/>
      <c r="G50" s="3">
        <f t="shared" si="12"/>
        <v>0</v>
      </c>
      <c r="I50">
        <v>16307.01</v>
      </c>
      <c r="J50" s="3">
        <v>472903.29</v>
      </c>
      <c r="K50" s="3">
        <f t="shared" si="11"/>
        <v>29</v>
      </c>
      <c r="M50">
        <f>9+7.31+7.35+5.93</f>
        <v>29.589999999999996</v>
      </c>
      <c r="N50" s="3">
        <v>798.93</v>
      </c>
      <c r="O50" s="3"/>
    </row>
    <row r="51" spans="1:22" x14ac:dyDescent="0.25">
      <c r="A51" t="s">
        <v>52</v>
      </c>
      <c r="B51">
        <v>4094.84</v>
      </c>
      <c r="C51">
        <v>0</v>
      </c>
      <c r="D51">
        <v>0</v>
      </c>
      <c r="E51">
        <v>0</v>
      </c>
      <c r="F51" s="2">
        <v>53487.62</v>
      </c>
      <c r="G51" s="3">
        <f t="shared" si="12"/>
        <v>13.062200232487717</v>
      </c>
      <c r="J51" s="3"/>
      <c r="K51" s="3"/>
      <c r="N51" s="3"/>
      <c r="O51" s="3"/>
    </row>
    <row r="52" spans="1:22" x14ac:dyDescent="0.25">
      <c r="A52" t="s">
        <v>53</v>
      </c>
      <c r="B52">
        <f>3625.86+2405.74</f>
        <v>6031.6</v>
      </c>
      <c r="C52">
        <v>0</v>
      </c>
      <c r="D52">
        <v>13.87</v>
      </c>
      <c r="E52">
        <v>0</v>
      </c>
      <c r="F52" s="2">
        <v>66537.34</v>
      </c>
      <c r="G52" s="3">
        <f t="shared" si="12"/>
        <v>11.006148405334903</v>
      </c>
      <c r="J52" s="3"/>
      <c r="K52" s="3"/>
      <c r="N52" s="3"/>
      <c r="O52" s="3"/>
    </row>
    <row r="53" spans="1:22" x14ac:dyDescent="0.25">
      <c r="A53" t="s">
        <v>36</v>
      </c>
      <c r="B53">
        <f>11325.75+6414.09</f>
        <v>17739.84</v>
      </c>
      <c r="D53">
        <v>4.45</v>
      </c>
      <c r="F53" s="2">
        <v>195418.37</v>
      </c>
      <c r="G53" s="3">
        <f t="shared" si="12"/>
        <v>11.013028416465239</v>
      </c>
      <c r="I53">
        <f>16369.97+1232.19</f>
        <v>17602.16</v>
      </c>
      <c r="J53" s="3">
        <f>474729.13+35733.51</f>
        <v>510462.64</v>
      </c>
      <c r="K53" s="3">
        <f t="shared" si="11"/>
        <v>29</v>
      </c>
      <c r="M53">
        <f>9+7.31+7.35+5.93</f>
        <v>29.589999999999996</v>
      </c>
      <c r="N53" s="3">
        <v>798.93</v>
      </c>
      <c r="O53" s="3"/>
    </row>
    <row r="54" spans="1:22" x14ac:dyDescent="0.25">
      <c r="A54" t="s">
        <v>37</v>
      </c>
      <c r="B54">
        <f>SUM(B40:B53)</f>
        <v>215391.78</v>
      </c>
      <c r="F54" s="2">
        <f>SUM(F40:F53)</f>
        <v>1984467.5700000003</v>
      </c>
      <c r="G54" s="3"/>
      <c r="J54" s="3"/>
      <c r="K54" s="3" t="e">
        <f t="shared" si="11"/>
        <v>#DIV/0!</v>
      </c>
      <c r="M54" s="3"/>
      <c r="N54" s="3"/>
      <c r="O54" s="3"/>
    </row>
    <row r="55" spans="1:22" x14ac:dyDescent="0.25">
      <c r="I55" s="8">
        <f>SUM(I40:I54)</f>
        <v>214426.37</v>
      </c>
      <c r="J55" s="3">
        <f>SUM(J40:J54)</f>
        <v>6218888.169999999</v>
      </c>
      <c r="M55" s="8">
        <f>SUM(M40:M54)</f>
        <v>7957.67</v>
      </c>
      <c r="N55" s="3">
        <f>SUM(N40:N54)</f>
        <v>207519.34</v>
      </c>
    </row>
    <row r="57" spans="1:22" x14ac:dyDescent="0.25">
      <c r="B57" s="13" t="s">
        <v>57</v>
      </c>
      <c r="C57" s="13"/>
      <c r="D57" s="13"/>
      <c r="E57" s="13"/>
      <c r="F57" s="13"/>
      <c r="G57" s="13"/>
      <c r="H57" s="13"/>
      <c r="I57" s="13" t="s">
        <v>22</v>
      </c>
      <c r="J57" s="13"/>
      <c r="M57" s="13" t="s">
        <v>29</v>
      </c>
      <c r="N57" s="13"/>
      <c r="P57" s="1" t="s">
        <v>58</v>
      </c>
      <c r="Q57" s="1"/>
      <c r="R57" s="1"/>
      <c r="T57" s="1" t="s">
        <v>59</v>
      </c>
    </row>
    <row r="58" spans="1:22" x14ac:dyDescent="0.25">
      <c r="A58" s="1" t="s">
        <v>55</v>
      </c>
      <c r="B58" s="4" t="s">
        <v>12</v>
      </c>
      <c r="C58" s="4" t="s">
        <v>17</v>
      </c>
      <c r="D58" s="4" t="s">
        <v>14</v>
      </c>
      <c r="E58" s="4" t="s">
        <v>18</v>
      </c>
      <c r="F58" s="4" t="s">
        <v>23</v>
      </c>
      <c r="G58" s="4" t="s">
        <v>24</v>
      </c>
      <c r="H58" s="4"/>
      <c r="I58" s="4" t="s">
        <v>19</v>
      </c>
      <c r="J58" s="4" t="s">
        <v>20</v>
      </c>
      <c r="K58" s="4" t="s">
        <v>24</v>
      </c>
      <c r="L58" s="5"/>
      <c r="M58" s="4" t="s">
        <v>47</v>
      </c>
      <c r="N58" s="4" t="s">
        <v>23</v>
      </c>
      <c r="P58" s="4" t="s">
        <v>47</v>
      </c>
      <c r="Q58" s="4" t="s">
        <v>23</v>
      </c>
      <c r="R58" s="4" t="s">
        <v>24</v>
      </c>
      <c r="T58" s="4" t="s">
        <v>47</v>
      </c>
      <c r="U58" s="4" t="s">
        <v>23</v>
      </c>
      <c r="V58" s="4" t="s">
        <v>24</v>
      </c>
    </row>
    <row r="59" spans="1:22" x14ac:dyDescent="0.25">
      <c r="A59" t="s">
        <v>25</v>
      </c>
      <c r="B59">
        <f>10575.61+6663.32</f>
        <v>17238.93</v>
      </c>
      <c r="C59">
        <v>0</v>
      </c>
      <c r="D59">
        <v>16.66</v>
      </c>
      <c r="E59">
        <v>0</v>
      </c>
      <c r="F59" s="3">
        <v>190157.34</v>
      </c>
      <c r="G59" s="3">
        <f t="shared" ref="G59:G70" si="13">+F59/(B59+D59+E59)</f>
        <v>11.020042780339589</v>
      </c>
      <c r="I59">
        <v>17119.099999999999</v>
      </c>
      <c r="J59" s="3">
        <v>496453.9</v>
      </c>
      <c r="K59" s="3">
        <f t="shared" ref="K59:K70" si="14">+J59/I59</f>
        <v>29.000000000000004</v>
      </c>
      <c r="M59">
        <v>0</v>
      </c>
      <c r="N59" s="3">
        <f>+M59*29</f>
        <v>0</v>
      </c>
      <c r="P59">
        <v>93.65</v>
      </c>
      <c r="Q59">
        <v>4364.09</v>
      </c>
      <c r="R59" s="9">
        <f t="shared" ref="R59:R66" si="15">+Q59/P59</f>
        <v>46.6</v>
      </c>
      <c r="T59" s="10"/>
      <c r="U59" s="10"/>
      <c r="V59" s="10"/>
    </row>
    <row r="60" spans="1:22" x14ac:dyDescent="0.25">
      <c r="A60" t="s">
        <v>26</v>
      </c>
      <c r="B60">
        <f>11097.67+7917.92</f>
        <v>19015.59</v>
      </c>
      <c r="D60">
        <v>0</v>
      </c>
      <c r="E60">
        <v>2775.67</v>
      </c>
      <c r="F60" s="3">
        <v>248708.99</v>
      </c>
      <c r="G60" s="3">
        <f t="shared" si="13"/>
        <v>11.413245034936024</v>
      </c>
      <c r="I60">
        <v>18592.169999999998</v>
      </c>
      <c r="J60" s="3">
        <v>539172.93000000005</v>
      </c>
      <c r="K60" s="3">
        <f t="shared" si="14"/>
        <v>29.000000000000007</v>
      </c>
      <c r="M60">
        <v>2786.02</v>
      </c>
      <c r="N60" s="3">
        <f>+M60*29</f>
        <v>80794.58</v>
      </c>
      <c r="P60">
        <v>161.91999999999999</v>
      </c>
      <c r="Q60">
        <v>7545.47</v>
      </c>
      <c r="R60" s="9">
        <f t="shared" si="15"/>
        <v>46.599987648221351</v>
      </c>
      <c r="T60" s="10"/>
      <c r="U60" s="10"/>
      <c r="V60" s="10"/>
    </row>
    <row r="61" spans="1:22" x14ac:dyDescent="0.25">
      <c r="A61" t="s">
        <v>27</v>
      </c>
      <c r="B61">
        <f>9442.53+6727.79</f>
        <v>16170.32</v>
      </c>
      <c r="D61">
        <v>19.73</v>
      </c>
      <c r="E61">
        <v>1830.7</v>
      </c>
      <c r="F61" s="3">
        <v>203731.73</v>
      </c>
      <c r="G61" s="3">
        <f t="shared" si="13"/>
        <v>11.305396834205014</v>
      </c>
      <c r="I61">
        <v>16087.98</v>
      </c>
      <c r="J61" s="3">
        <v>467081.34</v>
      </c>
      <c r="K61" s="3">
        <f t="shared" si="14"/>
        <v>29.032938877348183</v>
      </c>
      <c r="M61">
        <f>239.76+645.78+392.01+541.81</f>
        <v>1819.36</v>
      </c>
      <c r="N61" s="3">
        <f>15712.49+11368.29+18727.62+6952.9</f>
        <v>52761.299999999996</v>
      </c>
      <c r="P61">
        <v>46.62</v>
      </c>
      <c r="Q61">
        <v>2172.4899999999998</v>
      </c>
      <c r="R61" s="9">
        <f t="shared" si="15"/>
        <v>46.599957099957095</v>
      </c>
      <c r="T61" s="10"/>
      <c r="U61" s="10"/>
      <c r="V61" s="10"/>
    </row>
    <row r="62" spans="1:22" x14ac:dyDescent="0.25">
      <c r="A62" t="s">
        <v>28</v>
      </c>
      <c r="B62">
        <f>8594.74+7126.74</f>
        <v>15721.48</v>
      </c>
      <c r="C62">
        <v>0</v>
      </c>
      <c r="D62">
        <v>13.95</v>
      </c>
      <c r="E62">
        <v>284.67</v>
      </c>
      <c r="F62" s="3">
        <v>176740.08</v>
      </c>
      <c r="G62" s="3">
        <f t="shared" si="13"/>
        <v>11.032395553086435</v>
      </c>
      <c r="I62">
        <v>15613.5</v>
      </c>
      <c r="J62" s="3">
        <v>452791.5</v>
      </c>
      <c r="K62" s="3">
        <f t="shared" si="14"/>
        <v>29</v>
      </c>
      <c r="M62">
        <f>+N62/29</f>
        <v>377.06</v>
      </c>
      <c r="N62" s="3">
        <f>639.74+1868.76+8426.24</f>
        <v>10934.74</v>
      </c>
      <c r="P62">
        <v>143.27000000000001</v>
      </c>
      <c r="Q62">
        <v>6676.38</v>
      </c>
      <c r="R62" s="9">
        <f t="shared" si="15"/>
        <v>46.599986040343403</v>
      </c>
      <c r="T62" s="10"/>
      <c r="U62" s="10"/>
      <c r="V62" s="10"/>
    </row>
    <row r="63" spans="1:22" x14ac:dyDescent="0.25">
      <c r="A63" t="s">
        <v>30</v>
      </c>
      <c r="B63">
        <v>13380.8</v>
      </c>
      <c r="C63">
        <v>0</v>
      </c>
      <c r="D63">
        <v>3.94</v>
      </c>
      <c r="E63">
        <v>0</v>
      </c>
      <c r="F63" s="3">
        <v>147882.51999999999</v>
      </c>
      <c r="G63" s="3">
        <f t="shared" si="13"/>
        <v>11.048591156794977</v>
      </c>
      <c r="I63">
        <v>13328.82</v>
      </c>
      <c r="J63" s="3">
        <v>386538.97</v>
      </c>
      <c r="K63" s="3">
        <f t="shared" si="14"/>
        <v>29.000239331013546</v>
      </c>
      <c r="M63">
        <v>40.81</v>
      </c>
      <c r="N63" s="3">
        <f>+M63*29</f>
        <v>1183.49</v>
      </c>
      <c r="P63">
        <v>23.82</v>
      </c>
      <c r="Q63">
        <v>1110.01</v>
      </c>
      <c r="R63" s="9">
        <f t="shared" si="15"/>
        <v>46.599916036943746</v>
      </c>
      <c r="T63" s="10"/>
      <c r="U63" s="10"/>
      <c r="V63" s="10"/>
    </row>
    <row r="64" spans="1:22" x14ac:dyDescent="0.25">
      <c r="A64" t="s">
        <v>31</v>
      </c>
      <c r="B64">
        <f>6354.24+8605.68</f>
        <v>14959.92</v>
      </c>
      <c r="C64">
        <v>0</v>
      </c>
      <c r="D64">
        <v>8.6</v>
      </c>
      <c r="E64">
        <v>0</v>
      </c>
      <c r="F64" s="3">
        <v>164495.71</v>
      </c>
      <c r="G64" s="3">
        <f t="shared" si="13"/>
        <v>10.98944384615179</v>
      </c>
      <c r="I64">
        <v>14915.79</v>
      </c>
      <c r="J64" s="3">
        <v>432577.91</v>
      </c>
      <c r="K64" s="3">
        <f t="shared" si="14"/>
        <v>29.001340860926572</v>
      </c>
      <c r="N64" s="3"/>
      <c r="P64">
        <v>91.95</v>
      </c>
      <c r="Q64">
        <v>4284.84</v>
      </c>
      <c r="R64" s="9">
        <f t="shared" si="15"/>
        <v>46.599673735725936</v>
      </c>
      <c r="T64" s="10"/>
      <c r="U64" s="10"/>
      <c r="V64" s="10"/>
    </row>
    <row r="65" spans="1:22" x14ac:dyDescent="0.25">
      <c r="A65" t="s">
        <v>32</v>
      </c>
      <c r="B65">
        <f>7676.12+8500.18</f>
        <v>16176.3</v>
      </c>
      <c r="C65">
        <v>0</v>
      </c>
      <c r="D65">
        <v>11.92</v>
      </c>
      <c r="E65">
        <v>0</v>
      </c>
      <c r="F65" s="3">
        <v>176570.62</v>
      </c>
      <c r="G65" s="3">
        <f t="shared" si="13"/>
        <v>10.907352383399781</v>
      </c>
      <c r="I65">
        <v>16172.89</v>
      </c>
      <c r="J65" s="3">
        <v>469013.81</v>
      </c>
      <c r="K65" s="3">
        <f t="shared" si="14"/>
        <v>29</v>
      </c>
      <c r="N65" s="3"/>
      <c r="P65">
        <v>185.08</v>
      </c>
      <c r="Q65">
        <v>8624.73</v>
      </c>
      <c r="R65" s="9">
        <f t="shared" si="15"/>
        <v>46.600010806137881</v>
      </c>
      <c r="T65">
        <v>148.65</v>
      </c>
      <c r="U65" s="3">
        <v>7729.8</v>
      </c>
      <c r="V65" s="3">
        <f>+U65/T65</f>
        <v>52</v>
      </c>
    </row>
    <row r="66" spans="1:22" x14ac:dyDescent="0.25">
      <c r="A66" t="s">
        <v>33</v>
      </c>
      <c r="B66">
        <f>10543.02+9119.58</f>
        <v>19662.599999999999</v>
      </c>
      <c r="C66">
        <v>0</v>
      </c>
      <c r="D66">
        <v>10.52</v>
      </c>
      <c r="E66">
        <v>0</v>
      </c>
      <c r="F66" s="3">
        <v>213765.6</v>
      </c>
      <c r="G66" s="3">
        <f t="shared" si="13"/>
        <v>10.865871808843742</v>
      </c>
      <c r="I66">
        <v>19521.52</v>
      </c>
      <c r="J66" s="3">
        <v>566124.07999999996</v>
      </c>
      <c r="K66" s="3">
        <f t="shared" si="14"/>
        <v>28.999999999999996</v>
      </c>
      <c r="N66" s="3"/>
      <c r="P66">
        <v>69.95</v>
      </c>
      <c r="Q66">
        <v>3259.67</v>
      </c>
      <c r="R66" s="9">
        <f t="shared" si="15"/>
        <v>46.6</v>
      </c>
      <c r="T66">
        <v>157.72</v>
      </c>
      <c r="U66" s="3">
        <v>8201.44</v>
      </c>
      <c r="V66" s="3">
        <f>+U66/T66</f>
        <v>52.000000000000007</v>
      </c>
    </row>
    <row r="67" spans="1:22" x14ac:dyDescent="0.25">
      <c r="A67" t="s">
        <v>48</v>
      </c>
      <c r="B67">
        <f>8210.03+9407.57</f>
        <v>17617.599999999999</v>
      </c>
      <c r="C67">
        <v>0</v>
      </c>
      <c r="D67">
        <v>35.659999999999997</v>
      </c>
      <c r="E67">
        <v>0</v>
      </c>
      <c r="F67" s="3">
        <v>188405.29</v>
      </c>
      <c r="G67" s="3">
        <f t="shared" si="13"/>
        <v>10.672549432795984</v>
      </c>
      <c r="I67">
        <v>17477.11</v>
      </c>
      <c r="J67" s="3">
        <v>507336.83</v>
      </c>
      <c r="K67" s="3">
        <f t="shared" si="14"/>
        <v>29.028645468272501</v>
      </c>
      <c r="N67" s="3"/>
      <c r="R67" s="9"/>
      <c r="T67">
        <v>130.94999999999999</v>
      </c>
      <c r="U67" s="3">
        <v>3273.75</v>
      </c>
      <c r="V67" s="3">
        <f>+U67/T67</f>
        <v>25.000000000000004</v>
      </c>
    </row>
    <row r="68" spans="1:22" x14ac:dyDescent="0.25">
      <c r="A68" t="s">
        <v>34</v>
      </c>
      <c r="B68">
        <f>10146.19+8460.6</f>
        <v>18606.79</v>
      </c>
      <c r="C68">
        <v>0</v>
      </c>
      <c r="D68">
        <v>6.17</v>
      </c>
      <c r="E68">
        <v>0</v>
      </c>
      <c r="F68" s="3">
        <v>199974.08</v>
      </c>
      <c r="G68" s="3">
        <f t="shared" si="13"/>
        <v>10.743808615072508</v>
      </c>
      <c r="I68">
        <v>18334.939999999999</v>
      </c>
      <c r="J68" s="3">
        <v>531713.26</v>
      </c>
      <c r="K68" s="3">
        <f t="shared" si="14"/>
        <v>29.000000000000004</v>
      </c>
      <c r="N68" s="3"/>
      <c r="R68" s="9"/>
      <c r="T68">
        <v>22.35</v>
      </c>
      <c r="U68" s="3">
        <v>1162.2</v>
      </c>
      <c r="V68" s="3">
        <f>+U68/T68</f>
        <v>52</v>
      </c>
    </row>
    <row r="69" spans="1:22" x14ac:dyDescent="0.25">
      <c r="A69" t="s">
        <v>35</v>
      </c>
      <c r="B69">
        <f>7987.59+8608.9</f>
        <v>16596.489999999998</v>
      </c>
      <c r="C69">
        <v>0</v>
      </c>
      <c r="D69">
        <v>37.979999999999997</v>
      </c>
      <c r="E69">
        <v>0</v>
      </c>
      <c r="F69" s="3">
        <v>177978.89</v>
      </c>
      <c r="G69" s="3">
        <f t="shared" si="13"/>
        <v>10.699402505760631</v>
      </c>
      <c r="I69">
        <v>16571.91</v>
      </c>
      <c r="J69" s="3">
        <v>480585.93</v>
      </c>
      <c r="K69" s="3">
        <f t="shared" si="14"/>
        <v>29.000032585260239</v>
      </c>
      <c r="N69" s="3"/>
      <c r="R69" s="9"/>
      <c r="U69" s="3"/>
      <c r="V69" s="3"/>
    </row>
    <row r="70" spans="1:22" x14ac:dyDescent="0.25">
      <c r="A70" t="s">
        <v>36</v>
      </c>
      <c r="B70">
        <f>8383.99+7260.63</f>
        <v>15644.619999999999</v>
      </c>
      <c r="C70">
        <v>0</v>
      </c>
      <c r="D70">
        <v>13.48</v>
      </c>
      <c r="E70">
        <v>0</v>
      </c>
      <c r="F70" s="3">
        <v>168605.27</v>
      </c>
      <c r="G70" s="3">
        <f t="shared" si="13"/>
        <v>10.767926504492882</v>
      </c>
      <c r="I70">
        <v>15380.44</v>
      </c>
      <c r="J70" s="3">
        <v>446032.76</v>
      </c>
      <c r="K70" s="3">
        <f t="shared" si="14"/>
        <v>29</v>
      </c>
      <c r="N70" s="3"/>
      <c r="U70" s="3"/>
      <c r="V70" s="3"/>
    </row>
    <row r="71" spans="1:22" s="1" customFormat="1" x14ac:dyDescent="0.25">
      <c r="A71" s="1" t="s">
        <v>37</v>
      </c>
      <c r="B71" s="1">
        <f>SUM(B59:B70)</f>
        <v>200791.44</v>
      </c>
      <c r="D71" s="1">
        <f>SUM(D59:D70)</f>
        <v>178.60999999999999</v>
      </c>
      <c r="E71" s="1">
        <f>SUM(E59:E70)</f>
        <v>4891.04</v>
      </c>
      <c r="F71" s="11">
        <f>SUM(F59:F70)</f>
        <v>2257016.12</v>
      </c>
      <c r="G71" s="1" t="s">
        <v>60</v>
      </c>
      <c r="I71" s="1">
        <f>SUM(I59:I70)</f>
        <v>199116.17</v>
      </c>
      <c r="J71" s="11">
        <f>SUM(J59:J70)</f>
        <v>5775423.2199999997</v>
      </c>
      <c r="K71" s="11"/>
      <c r="M71" s="1">
        <f>SUM(M59:M70)</f>
        <v>5023.2500000000009</v>
      </c>
      <c r="N71" s="11">
        <f>SUM(N59:N70)</f>
        <v>145674.10999999999</v>
      </c>
      <c r="P71" s="11">
        <f t="shared" ref="P71:Q71" si="16">SUM(P59:P70)</f>
        <v>816.2600000000001</v>
      </c>
      <c r="Q71" s="11">
        <f t="shared" si="16"/>
        <v>38037.679999999993</v>
      </c>
      <c r="U71" s="11"/>
      <c r="V71" s="11"/>
    </row>
    <row r="72" spans="1:22" x14ac:dyDescent="0.25">
      <c r="N72" s="3"/>
    </row>
    <row r="73" spans="1:22" x14ac:dyDescent="0.25">
      <c r="J73" s="3">
        <v>8216151.1299999999</v>
      </c>
      <c r="N73" s="3"/>
    </row>
    <row r="76" spans="1:22" x14ac:dyDescent="0.25">
      <c r="B76" s="13" t="s">
        <v>57</v>
      </c>
      <c r="C76" s="13"/>
      <c r="D76" s="13"/>
      <c r="E76" s="13"/>
      <c r="F76" s="13"/>
      <c r="G76" s="13"/>
      <c r="H76" s="13"/>
      <c r="I76" s="13" t="s">
        <v>22</v>
      </c>
      <c r="J76" s="13"/>
      <c r="M76" s="13" t="s">
        <v>29</v>
      </c>
      <c r="N76" s="13"/>
      <c r="P76" s="1" t="s">
        <v>58</v>
      </c>
      <c r="Q76" s="1"/>
      <c r="R76" s="1"/>
    </row>
    <row r="77" spans="1:22" x14ac:dyDescent="0.25">
      <c r="A77" s="1" t="s">
        <v>61</v>
      </c>
      <c r="B77" s="4" t="s">
        <v>12</v>
      </c>
      <c r="C77" s="4" t="s">
        <v>17</v>
      </c>
      <c r="D77" s="4" t="s">
        <v>14</v>
      </c>
      <c r="E77" s="4" t="s">
        <v>18</v>
      </c>
      <c r="F77" s="4" t="s">
        <v>23</v>
      </c>
      <c r="G77" s="4" t="s">
        <v>24</v>
      </c>
      <c r="H77" s="4"/>
      <c r="I77" s="4" t="s">
        <v>19</v>
      </c>
      <c r="J77" s="4" t="s">
        <v>20</v>
      </c>
      <c r="K77" s="4" t="s">
        <v>24</v>
      </c>
      <c r="L77" s="5"/>
      <c r="M77" s="4" t="s">
        <v>47</v>
      </c>
      <c r="N77" s="4" t="s">
        <v>23</v>
      </c>
      <c r="P77" s="4" t="s">
        <v>47</v>
      </c>
      <c r="Q77" s="4" t="s">
        <v>23</v>
      </c>
      <c r="R77" s="4" t="s">
        <v>24</v>
      </c>
    </row>
    <row r="78" spans="1:22" x14ac:dyDescent="0.25">
      <c r="A78" t="s">
        <v>25</v>
      </c>
      <c r="B78">
        <f>10407.64+7319.57</f>
        <v>17727.21</v>
      </c>
      <c r="C78">
        <v>0</v>
      </c>
      <c r="D78">
        <v>25.27</v>
      </c>
      <c r="E78">
        <v>0</v>
      </c>
      <c r="F78" s="3">
        <v>190068.05</v>
      </c>
      <c r="G78" s="3">
        <f t="shared" ref="G78:G89" si="17">+F78/(B78+D78+E78)</f>
        <v>10.706563252007607</v>
      </c>
      <c r="I78">
        <v>17551.580000000002</v>
      </c>
      <c r="J78" s="3">
        <v>508995.82</v>
      </c>
      <c r="K78" s="3">
        <f t="shared" ref="K78:K89" si="18">+J78/I78</f>
        <v>28.999999999999996</v>
      </c>
      <c r="M78">
        <v>0</v>
      </c>
      <c r="N78" s="3">
        <f>+M78*29</f>
        <v>0</v>
      </c>
      <c r="R78" s="9" t="e">
        <f t="shared" ref="R78:R85" si="19">+Q78/P78</f>
        <v>#DIV/0!</v>
      </c>
    </row>
    <row r="79" spans="1:22" x14ac:dyDescent="0.25">
      <c r="A79" t="s">
        <v>26</v>
      </c>
      <c r="B79">
        <f>8437.37+7358.4</f>
        <v>15795.77</v>
      </c>
      <c r="C79">
        <v>0</v>
      </c>
      <c r="D79">
        <v>9.61</v>
      </c>
      <c r="E79">
        <v>2117.7199999999998</v>
      </c>
      <c r="F79" s="3">
        <v>199330.76</v>
      </c>
      <c r="G79" s="3">
        <f t="shared" si="17"/>
        <v>11.121444392990051</v>
      </c>
      <c r="I79">
        <v>15552.83</v>
      </c>
      <c r="J79" s="3">
        <v>450429.3</v>
      </c>
      <c r="K79" s="3">
        <f t="shared" si="18"/>
        <v>28.961243709344217</v>
      </c>
      <c r="M79">
        <f>+N79/30</f>
        <v>2557.0500000000002</v>
      </c>
      <c r="N79" s="3">
        <f>9480.1-280+17470.5+14188.8+35852.1</f>
        <v>76711.5</v>
      </c>
      <c r="R79" s="9" t="e">
        <f t="shared" si="19"/>
        <v>#DIV/0!</v>
      </c>
    </row>
    <row r="80" spans="1:22" x14ac:dyDescent="0.25">
      <c r="A80" t="s">
        <v>27</v>
      </c>
      <c r="B80">
        <f>8943.06+7448.77</f>
        <v>16391.830000000002</v>
      </c>
      <c r="C80">
        <v>0</v>
      </c>
      <c r="D80">
        <v>10.23</v>
      </c>
      <c r="E80">
        <v>3260.85</v>
      </c>
      <c r="F80" s="3">
        <v>222885.69</v>
      </c>
      <c r="G80" s="3">
        <f t="shared" si="17"/>
        <v>11.335335919251017</v>
      </c>
      <c r="I80">
        <v>16055.35</v>
      </c>
      <c r="J80" s="3">
        <v>465605.15</v>
      </c>
      <c r="K80" s="3">
        <f t="shared" si="18"/>
        <v>29</v>
      </c>
      <c r="M80">
        <v>3260.85</v>
      </c>
      <c r="N80" s="3">
        <f>+M80*30</f>
        <v>97825.5</v>
      </c>
      <c r="R80" s="9" t="e">
        <f t="shared" si="19"/>
        <v>#DIV/0!</v>
      </c>
    </row>
    <row r="81" spans="1:18" x14ac:dyDescent="0.25">
      <c r="A81" t="s">
        <v>28</v>
      </c>
      <c r="C81">
        <v>0</v>
      </c>
      <c r="F81" s="3"/>
      <c r="G81" s="3" t="e">
        <f t="shared" si="17"/>
        <v>#DIV/0!</v>
      </c>
      <c r="J81" s="3"/>
      <c r="K81" s="3" t="e">
        <f t="shared" si="18"/>
        <v>#DIV/0!</v>
      </c>
      <c r="N81" s="3"/>
      <c r="R81" s="9" t="e">
        <f t="shared" si="19"/>
        <v>#DIV/0!</v>
      </c>
    </row>
    <row r="82" spans="1:18" x14ac:dyDescent="0.25">
      <c r="A82" t="s">
        <v>30</v>
      </c>
      <c r="C82">
        <v>0</v>
      </c>
      <c r="F82" s="3"/>
      <c r="G82" s="3" t="e">
        <f t="shared" si="17"/>
        <v>#DIV/0!</v>
      </c>
      <c r="J82" s="3"/>
      <c r="K82" s="3" t="e">
        <f t="shared" si="18"/>
        <v>#DIV/0!</v>
      </c>
      <c r="N82" s="3">
        <f>+M82*29</f>
        <v>0</v>
      </c>
      <c r="R82" s="9" t="e">
        <f t="shared" si="19"/>
        <v>#DIV/0!</v>
      </c>
    </row>
    <row r="83" spans="1:18" x14ac:dyDescent="0.25">
      <c r="A83" t="s">
        <v>31</v>
      </c>
      <c r="C83">
        <v>0</v>
      </c>
      <c r="F83" s="3"/>
      <c r="G83" s="3" t="e">
        <f t="shared" si="17"/>
        <v>#DIV/0!</v>
      </c>
      <c r="J83" s="3"/>
      <c r="K83" s="3" t="e">
        <f t="shared" si="18"/>
        <v>#DIV/0!</v>
      </c>
      <c r="N83" s="3"/>
      <c r="R83" s="9" t="e">
        <f t="shared" si="19"/>
        <v>#DIV/0!</v>
      </c>
    </row>
    <row r="84" spans="1:18" x14ac:dyDescent="0.25">
      <c r="A84" t="s">
        <v>32</v>
      </c>
      <c r="C84">
        <v>0</v>
      </c>
      <c r="F84" s="3"/>
      <c r="G84" s="3" t="e">
        <f t="shared" si="17"/>
        <v>#DIV/0!</v>
      </c>
      <c r="J84" s="3"/>
      <c r="K84" s="3" t="e">
        <f t="shared" si="18"/>
        <v>#DIV/0!</v>
      </c>
      <c r="N84" s="3"/>
      <c r="R84" s="9" t="e">
        <f t="shared" si="19"/>
        <v>#DIV/0!</v>
      </c>
    </row>
    <row r="85" spans="1:18" x14ac:dyDescent="0.25">
      <c r="A85" t="s">
        <v>33</v>
      </c>
      <c r="C85">
        <v>0</v>
      </c>
      <c r="F85" s="3"/>
      <c r="G85" s="3" t="e">
        <f t="shared" si="17"/>
        <v>#DIV/0!</v>
      </c>
      <c r="J85" s="3"/>
      <c r="K85" s="3" t="e">
        <f t="shared" si="18"/>
        <v>#DIV/0!</v>
      </c>
      <c r="N85" s="3"/>
      <c r="R85" s="9" t="e">
        <f t="shared" si="19"/>
        <v>#DIV/0!</v>
      </c>
    </row>
    <row r="86" spans="1:18" x14ac:dyDescent="0.25">
      <c r="A86" t="s">
        <v>48</v>
      </c>
      <c r="C86">
        <v>0</v>
      </c>
      <c r="F86" s="3"/>
      <c r="G86" s="3" t="e">
        <f t="shared" si="17"/>
        <v>#DIV/0!</v>
      </c>
      <c r="J86" s="3"/>
      <c r="K86" s="3" t="e">
        <f t="shared" si="18"/>
        <v>#DIV/0!</v>
      </c>
      <c r="N86" s="3"/>
      <c r="R86" s="9"/>
    </row>
    <row r="87" spans="1:18" x14ac:dyDescent="0.25">
      <c r="A87" t="s">
        <v>34</v>
      </c>
      <c r="C87">
        <v>0</v>
      </c>
      <c r="F87" s="3"/>
      <c r="G87" s="3" t="e">
        <f t="shared" si="17"/>
        <v>#DIV/0!</v>
      </c>
      <c r="J87" s="3"/>
      <c r="K87" s="3" t="e">
        <f t="shared" si="18"/>
        <v>#DIV/0!</v>
      </c>
      <c r="N87" s="3"/>
      <c r="R87" s="9"/>
    </row>
    <row r="88" spans="1:18" x14ac:dyDescent="0.25">
      <c r="A88" t="s">
        <v>35</v>
      </c>
      <c r="C88">
        <v>0</v>
      </c>
      <c r="F88" s="3"/>
      <c r="G88" s="3" t="e">
        <f t="shared" si="17"/>
        <v>#DIV/0!</v>
      </c>
      <c r="J88" s="3"/>
      <c r="K88" s="3" t="e">
        <f t="shared" si="18"/>
        <v>#DIV/0!</v>
      </c>
      <c r="N88" s="3"/>
      <c r="R88" s="9"/>
    </row>
    <row r="89" spans="1:18" x14ac:dyDescent="0.25">
      <c r="A89" t="s">
        <v>36</v>
      </c>
      <c r="C89">
        <v>0</v>
      </c>
      <c r="F89" s="3"/>
      <c r="G89" s="3" t="e">
        <f t="shared" si="17"/>
        <v>#DIV/0!</v>
      </c>
      <c r="J89" s="3"/>
      <c r="K89" s="3" t="e">
        <f t="shared" si="18"/>
        <v>#DIV/0!</v>
      </c>
      <c r="N89" s="3"/>
    </row>
    <row r="90" spans="1:18" x14ac:dyDescent="0.25">
      <c r="A90" s="1" t="s">
        <v>37</v>
      </c>
      <c r="B90" s="1">
        <f>SUM(B78:B89)</f>
        <v>49914.81</v>
      </c>
      <c r="C90" s="1"/>
      <c r="D90" s="1">
        <f>SUM(D78:D89)</f>
        <v>45.11</v>
      </c>
      <c r="E90" s="1">
        <f>SUM(E78:E89)</f>
        <v>5378.57</v>
      </c>
      <c r="F90" s="11">
        <f>SUM(F78:F89)</f>
        <v>612284.5</v>
      </c>
      <c r="G90" s="1" t="s">
        <v>60</v>
      </c>
      <c r="H90" s="1"/>
      <c r="I90" s="1">
        <f>SUM(I78:I89)</f>
        <v>49159.76</v>
      </c>
      <c r="J90" s="11">
        <f>SUM(J78:J89)</f>
        <v>1425030.27</v>
      </c>
      <c r="K90" s="11"/>
      <c r="L90" s="1"/>
      <c r="M90" s="1">
        <f>SUM(M78:M89)</f>
        <v>5817.9</v>
      </c>
      <c r="N90" s="11">
        <f>SUM(N78:N89)</f>
        <v>174537</v>
      </c>
      <c r="O90" s="1"/>
      <c r="P90" s="11">
        <f t="shared" ref="P90:Q90" si="20">SUM(P78:P89)</f>
        <v>0</v>
      </c>
      <c r="Q90" s="11">
        <f t="shared" si="20"/>
        <v>0</v>
      </c>
      <c r="R90" s="1"/>
    </row>
    <row r="91" spans="1:18" x14ac:dyDescent="0.25">
      <c r="N91" s="3"/>
    </row>
    <row r="92" spans="1:18" x14ac:dyDescent="0.25">
      <c r="J92" s="3">
        <v>8216151.1299999999</v>
      </c>
      <c r="N92" s="3"/>
    </row>
  </sheetData>
  <mergeCells count="15">
    <mergeCell ref="B76:H76"/>
    <mergeCell ref="I76:J76"/>
    <mergeCell ref="M76:N76"/>
    <mergeCell ref="B1:H1"/>
    <mergeCell ref="I1:J1"/>
    <mergeCell ref="M1:N1"/>
    <mergeCell ref="B21:H21"/>
    <mergeCell ref="I21:J21"/>
    <mergeCell ref="M21:N21"/>
    <mergeCell ref="B57:H57"/>
    <mergeCell ref="I57:J57"/>
    <mergeCell ref="M57:N57"/>
    <mergeCell ref="B38:H38"/>
    <mergeCell ref="I38:J38"/>
    <mergeCell ref="M38:N38"/>
  </mergeCells>
  <pageMargins left="0.7" right="0.7" top="0.75" bottom="0.75" header="0.3" footer="0.3"/>
  <pageSetup scale="70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DPW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Hallie.Clemm</dc:creator>
  <cp:lastModifiedBy>.</cp:lastModifiedBy>
  <cp:lastPrinted>2010-03-08T20:08:46Z</cp:lastPrinted>
  <dcterms:created xsi:type="dcterms:W3CDTF">2009-12-28T15:27:04Z</dcterms:created>
  <dcterms:modified xsi:type="dcterms:W3CDTF">2014-04-14T15:50:26Z</dcterms:modified>
</cp:coreProperties>
</file>